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updateLinks="never" codeName="ThisWorkbook" defaultThemeVersion="166925"/>
  <mc:AlternateContent xmlns:mc="http://schemas.openxmlformats.org/markup-compatibility/2006">
    <mc:Choice Requires="x15">
      <x15ac:absPath xmlns:x15ac="http://schemas.microsoft.com/office/spreadsheetml/2010/11/ac" url="C:\Users\hardik.malhotra\Desktop\Desktop Data\NEW Opal\"/>
    </mc:Choice>
  </mc:AlternateContent>
  <xr:revisionPtr revIDLastSave="0" documentId="13_ncr:1_{A43F5166-0B55-4428-96E2-CA8DB931684A}" xr6:coauthVersionLast="47" xr6:coauthVersionMax="47" xr10:uidLastSave="{00000000-0000-0000-0000-000000000000}"/>
  <bookViews>
    <workbookView xWindow="-120" yWindow="-120" windowWidth="20730" windowHeight="11160" tabRatio="917" firstSheet="1" activeTab="5" xr2:uid="{00000000-000D-0000-FFFF-FFFF00000000}"/>
  </bookViews>
  <sheets>
    <sheet name="Cover Page" sheetId="20" r:id="rId1"/>
    <sheet name="Dashboard" sheetId="98" r:id="rId2"/>
    <sheet name="Sheet3" sheetId="99" state="hidden" r:id="rId3"/>
    <sheet name="Background and Option Evaluated" sheetId="89" state="hidden" r:id="rId4"/>
    <sheet name="Scenario" sheetId="90" state="hidden" r:id="rId5"/>
    <sheet name="Price Table" sheetId="107" r:id="rId6"/>
    <sheet name="Feed" sheetId="47" r:id="rId7"/>
    <sheet name="Financial Model (84 Months)" sheetId="88" state="hidden" r:id="rId8"/>
    <sheet name="Cracker Yields" sheetId="52" r:id="rId9"/>
    <sheet name="Financial Model Base Case" sheetId="83" r:id="rId10"/>
    <sheet name="Financial Model Prop. Fur. Add." sheetId="72" r:id="rId11"/>
    <sheet name="Financial Model Eth. Fur. Add." sheetId="106" r:id="rId12"/>
    <sheet name="Products Output" sheetId="82" r:id="rId13"/>
    <sheet name="Capex" sheetId="16" r:id="rId14"/>
    <sheet name="Opex PVC" sheetId="100" r:id="rId15"/>
    <sheet name="Sales" sheetId="51" r:id="rId16"/>
    <sheet name="Cashflow 350 KTPA" sheetId="39" r:id="rId17"/>
    <sheet name="Cashflow 500 KTPA" sheetId="66" r:id="rId18"/>
    <sheet name="Cashflow 500KT EDC VCM Cracking" sheetId="80" r:id="rId19"/>
    <sheet name="Cashflow - PVC Phenol Propane" sheetId="77" r:id="rId20"/>
    <sheet name="Cashflow - PVC Phenol Ethane" sheetId="105" r:id="rId21"/>
    <sheet name="Cashflow PhenolOption1-Propane" sheetId="78" state="hidden" r:id="rId22"/>
    <sheet name="Cashflow Phenol Option 1-Ethane" sheetId="108" state="hidden" r:id="rId23"/>
    <sheet name="Opex Phenol" sheetId="79" state="hidden" r:id="rId24"/>
    <sheet name="Net Change in Margin" sheetId="86" r:id="rId25"/>
    <sheet name="Salaries &amp; Wages Calculations" sheetId="12" r:id="rId26"/>
    <sheet name="Profitability" sheetId="56" r:id="rId27"/>
    <sheet name="Sensitivity-Profitability" sheetId="81" r:id="rId28"/>
    <sheet name="Annual COP" sheetId="17" state="hidden" r:id="rId29"/>
    <sheet name=" Break EvenPoint" sheetId="57" r:id="rId30"/>
    <sheet name="BEP Sensitivity-350 KTPA" sheetId="67" r:id="rId31"/>
    <sheet name="BEP Sensitivity-500 KTPA" sheetId="74" r:id="rId32"/>
    <sheet name=" Profitabilty_PVC Phenol (2 (3)" sheetId="102" state="hidden" r:id="rId33"/>
    <sheet name=" Profitabilty_PVC Phenol (3)" sheetId="103" state="hidden" r:id="rId34"/>
    <sheet name=" Profitabilty_PVC Phenol" sheetId="95" r:id="rId35"/>
    <sheet name="Sensitivity_PVC Phenol" sheetId="96" r:id="rId36"/>
    <sheet name="Cashflow Current" sheetId="94" r:id="rId37"/>
    <sheet name="Profitability - Current" sheetId="91" r:id="rId38"/>
    <sheet name="Sensitivity-Profit Current Case" sheetId="92" r:id="rId39"/>
    <sheet name="Sensitivity Current Case" sheetId="93" r:id="rId40"/>
    <sheet name=" Profitabilty_PVC Phenol 1" sheetId="101" state="hidden" r:id="rId41"/>
    <sheet name="DSCR-350 KTPA" sheetId="58" r:id="rId42"/>
    <sheet name="DSCR-PVC+Phenol" sheetId="97" r:id="rId43"/>
    <sheet name=" Means of Fin" sheetId="59" r:id="rId44"/>
    <sheet name="Interest Calculation" sheetId="60" r:id="rId45"/>
    <sheet name="Requirement" sheetId="73" state="hidden" r:id="rId46"/>
    <sheet name="Working Sheet" sheetId="9" r:id="rId47"/>
    <sheet name="Basis" sheetId="32" r:id="rId48"/>
    <sheet name="Sheet1" sheetId="63" state="hidden" r:id="rId49"/>
  </sheets>
  <externalReferences>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_Order1" hidden="1">255</definedName>
    <definedName name="anscount" hidden="1">3</definedName>
    <definedName name="ColumnAttributes1" localSheetId="3">#REF!</definedName>
    <definedName name="ColumnAttributes1" localSheetId="22">#REF!</definedName>
    <definedName name="ColumnAttributes1" localSheetId="21">#REF!</definedName>
    <definedName name="ColumnAttributes1" localSheetId="7">#REF!</definedName>
    <definedName name="ColumnAttributes1" localSheetId="9">#REF!</definedName>
    <definedName name="ColumnAttributes1" localSheetId="11">#REF!</definedName>
    <definedName name="ColumnAttributes1" localSheetId="10">#REF!</definedName>
    <definedName name="ColumnAttributes1" localSheetId="24">#REF!</definedName>
    <definedName name="ColumnAttributes1" localSheetId="23">#REF!</definedName>
    <definedName name="ColumnAttributes1" localSheetId="12">#REF!</definedName>
    <definedName name="ColumnAttributes1" localSheetId="45">#REF!</definedName>
    <definedName name="ColumnAttributes1" localSheetId="15">#REF!</definedName>
    <definedName name="ColumnAttributes1" localSheetId="4">#REF!</definedName>
    <definedName name="ColumnAttributes1">#REF!</definedName>
    <definedName name="ColumnHeadings1" localSheetId="3">#REF!</definedName>
    <definedName name="ColumnHeadings1" localSheetId="22">#REF!</definedName>
    <definedName name="ColumnHeadings1" localSheetId="21">#REF!</definedName>
    <definedName name="ColumnHeadings1" localSheetId="7">#REF!</definedName>
    <definedName name="ColumnHeadings1" localSheetId="9">#REF!</definedName>
    <definedName name="ColumnHeadings1" localSheetId="11">#REF!</definedName>
    <definedName name="ColumnHeadings1" localSheetId="10">#REF!</definedName>
    <definedName name="ColumnHeadings1" localSheetId="24">#REF!</definedName>
    <definedName name="ColumnHeadings1" localSheetId="23">#REF!</definedName>
    <definedName name="ColumnHeadings1" localSheetId="12">#REF!</definedName>
    <definedName name="ColumnHeadings1" localSheetId="45">#REF!</definedName>
    <definedName name="ColumnHeadings1" localSheetId="4">#REF!</definedName>
    <definedName name="ColumnHeadings1">#REF!</definedName>
    <definedName name="cracker" localSheetId="3">#REF!</definedName>
    <definedName name="cracker" localSheetId="22">#REF!</definedName>
    <definedName name="cracker" localSheetId="21">#REF!</definedName>
    <definedName name="cracker" localSheetId="7">#REF!</definedName>
    <definedName name="cracker" localSheetId="9">#REF!</definedName>
    <definedName name="cracker" localSheetId="11">#REF!</definedName>
    <definedName name="cracker" localSheetId="10">#REF!</definedName>
    <definedName name="cracker" localSheetId="24">#REF!</definedName>
    <definedName name="cracker" localSheetId="23">#REF!</definedName>
    <definedName name="cracker" localSheetId="12">#REF!</definedName>
    <definedName name="cracker" localSheetId="45">#REF!</definedName>
    <definedName name="cracker" localSheetId="4">#REF!</definedName>
    <definedName name="cracker">#REF!</definedName>
    <definedName name="crackertblock" localSheetId="3">#REF!</definedName>
    <definedName name="crackertblock" localSheetId="22">#REF!</definedName>
    <definedName name="crackertblock" localSheetId="21">#REF!</definedName>
    <definedName name="crackertblock" localSheetId="7">#REF!</definedName>
    <definedName name="crackertblock" localSheetId="9">#REF!</definedName>
    <definedName name="crackertblock" localSheetId="11">#REF!</definedName>
    <definedName name="crackertblock" localSheetId="10">#REF!</definedName>
    <definedName name="crackertblock" localSheetId="24">#REF!</definedName>
    <definedName name="crackertblock" localSheetId="23">#REF!</definedName>
    <definedName name="crackertblock" localSheetId="12">#REF!</definedName>
    <definedName name="crackertblock" localSheetId="45">#REF!</definedName>
    <definedName name="crackertblock" localSheetId="4">#REF!</definedName>
    <definedName name="crackertblock">#REF!</definedName>
    <definedName name="DATA1" localSheetId="3">#REF!</definedName>
    <definedName name="DATA1" localSheetId="22">#REF!</definedName>
    <definedName name="DATA1" localSheetId="21">#REF!</definedName>
    <definedName name="DATA1" localSheetId="7">#REF!</definedName>
    <definedName name="DATA1" localSheetId="9">#REF!</definedName>
    <definedName name="DATA1" localSheetId="11">#REF!</definedName>
    <definedName name="DATA1" localSheetId="10">#REF!</definedName>
    <definedName name="DATA1" localSheetId="24">#REF!</definedName>
    <definedName name="DATA1" localSheetId="23">#REF!</definedName>
    <definedName name="DATA1" localSheetId="12">#REF!</definedName>
    <definedName name="DATA1" localSheetId="45">#REF!</definedName>
    <definedName name="DATA1" localSheetId="4">#REF!</definedName>
    <definedName name="DATA1">#REF!</definedName>
    <definedName name="DATA10" localSheetId="3">#REF!</definedName>
    <definedName name="DATA10" localSheetId="22">#REF!</definedName>
    <definedName name="DATA10" localSheetId="21">#REF!</definedName>
    <definedName name="DATA10" localSheetId="7">#REF!</definedName>
    <definedName name="DATA10" localSheetId="9">#REF!</definedName>
    <definedName name="DATA10" localSheetId="11">#REF!</definedName>
    <definedName name="DATA10" localSheetId="10">#REF!</definedName>
    <definedName name="DATA10" localSheetId="24">#REF!</definedName>
    <definedName name="DATA10" localSheetId="23">#REF!</definedName>
    <definedName name="DATA10" localSheetId="12">#REF!</definedName>
    <definedName name="DATA10" localSheetId="45">#REF!</definedName>
    <definedName name="DATA10" localSheetId="4">#REF!</definedName>
    <definedName name="DATA10">#REF!</definedName>
    <definedName name="DATA11" localSheetId="3">#REF!</definedName>
    <definedName name="DATA11" localSheetId="22">#REF!</definedName>
    <definedName name="DATA11" localSheetId="21">#REF!</definedName>
    <definedName name="DATA11" localSheetId="7">#REF!</definedName>
    <definedName name="DATA11" localSheetId="9">#REF!</definedName>
    <definedName name="DATA11" localSheetId="11">#REF!</definedName>
    <definedName name="DATA11" localSheetId="10">#REF!</definedName>
    <definedName name="DATA11" localSheetId="24">#REF!</definedName>
    <definedName name="DATA11" localSheetId="23">#REF!</definedName>
    <definedName name="DATA11" localSheetId="12">#REF!</definedName>
    <definedName name="DATA11" localSheetId="45">#REF!</definedName>
    <definedName name="DATA11" localSheetId="4">#REF!</definedName>
    <definedName name="DATA11">#REF!</definedName>
    <definedName name="DATA12" localSheetId="3">#REF!</definedName>
    <definedName name="DATA12" localSheetId="22">#REF!</definedName>
    <definedName name="DATA12" localSheetId="21">#REF!</definedName>
    <definedName name="DATA12" localSheetId="7">#REF!</definedName>
    <definedName name="DATA12" localSheetId="9">#REF!</definedName>
    <definedName name="DATA12" localSheetId="11">#REF!</definedName>
    <definedName name="DATA12" localSheetId="10">#REF!</definedName>
    <definedName name="DATA12" localSheetId="24">#REF!</definedName>
    <definedName name="DATA12" localSheetId="23">#REF!</definedName>
    <definedName name="DATA12" localSheetId="12">#REF!</definedName>
    <definedName name="DATA12" localSheetId="45">#REF!</definedName>
    <definedName name="DATA12" localSheetId="4">#REF!</definedName>
    <definedName name="DATA12">#REF!</definedName>
    <definedName name="DATA13" localSheetId="3">#REF!</definedName>
    <definedName name="DATA13" localSheetId="22">#REF!</definedName>
    <definedName name="DATA13" localSheetId="21">#REF!</definedName>
    <definedName name="DATA13" localSheetId="7">#REF!</definedName>
    <definedName name="DATA13" localSheetId="9">#REF!</definedName>
    <definedName name="DATA13" localSheetId="11">#REF!</definedName>
    <definedName name="DATA13" localSheetId="10">#REF!</definedName>
    <definedName name="DATA13" localSheetId="24">#REF!</definedName>
    <definedName name="DATA13" localSheetId="23">#REF!</definedName>
    <definedName name="DATA13" localSheetId="12">#REF!</definedName>
    <definedName name="DATA13" localSheetId="45">#REF!</definedName>
    <definedName name="DATA13" localSheetId="4">#REF!</definedName>
    <definedName name="DATA13">#REF!</definedName>
    <definedName name="DATA14" localSheetId="3">#REF!</definedName>
    <definedName name="DATA14" localSheetId="22">#REF!</definedName>
    <definedName name="DATA14" localSheetId="21">#REF!</definedName>
    <definedName name="DATA14" localSheetId="7">#REF!</definedName>
    <definedName name="DATA14" localSheetId="9">#REF!</definedName>
    <definedName name="DATA14" localSheetId="11">#REF!</definedName>
    <definedName name="DATA14" localSheetId="10">#REF!</definedName>
    <definedName name="DATA14" localSheetId="24">#REF!</definedName>
    <definedName name="DATA14" localSheetId="23">#REF!</definedName>
    <definedName name="DATA14" localSheetId="12">#REF!</definedName>
    <definedName name="DATA14" localSheetId="45">#REF!</definedName>
    <definedName name="DATA14" localSheetId="4">#REF!</definedName>
    <definedName name="DATA14">#REF!</definedName>
    <definedName name="DATA15" localSheetId="3">#REF!</definedName>
    <definedName name="DATA15" localSheetId="22">#REF!</definedName>
    <definedName name="DATA15" localSheetId="21">#REF!</definedName>
    <definedName name="DATA15" localSheetId="7">#REF!</definedName>
    <definedName name="DATA15" localSheetId="9">#REF!</definedName>
    <definedName name="DATA15" localSheetId="11">#REF!</definedName>
    <definedName name="DATA15" localSheetId="10">#REF!</definedName>
    <definedName name="DATA15" localSheetId="24">#REF!</definedName>
    <definedName name="DATA15" localSheetId="23">#REF!</definedName>
    <definedName name="DATA15" localSheetId="12">#REF!</definedName>
    <definedName name="DATA15" localSheetId="45">#REF!</definedName>
    <definedName name="DATA15" localSheetId="4">#REF!</definedName>
    <definedName name="DATA15">#REF!</definedName>
    <definedName name="DATA16" localSheetId="3">#REF!</definedName>
    <definedName name="DATA16" localSheetId="22">#REF!</definedName>
    <definedName name="DATA16" localSheetId="21">#REF!</definedName>
    <definedName name="DATA16" localSheetId="7">#REF!</definedName>
    <definedName name="DATA16" localSheetId="9">#REF!</definedName>
    <definedName name="DATA16" localSheetId="11">#REF!</definedName>
    <definedName name="DATA16" localSheetId="10">#REF!</definedName>
    <definedName name="DATA16" localSheetId="24">#REF!</definedName>
    <definedName name="DATA16" localSheetId="23">#REF!</definedName>
    <definedName name="DATA16" localSheetId="12">#REF!</definedName>
    <definedName name="DATA16" localSheetId="45">#REF!</definedName>
    <definedName name="DATA16" localSheetId="4">#REF!</definedName>
    <definedName name="DATA16">#REF!</definedName>
    <definedName name="DATA17" localSheetId="3">#REF!</definedName>
    <definedName name="DATA17" localSheetId="22">#REF!</definedName>
    <definedName name="DATA17" localSheetId="21">#REF!</definedName>
    <definedName name="DATA17" localSheetId="7">#REF!</definedName>
    <definedName name="DATA17" localSheetId="9">#REF!</definedName>
    <definedName name="DATA17" localSheetId="11">#REF!</definedName>
    <definedName name="DATA17" localSheetId="10">#REF!</definedName>
    <definedName name="DATA17" localSheetId="24">#REF!</definedName>
    <definedName name="DATA17" localSheetId="23">#REF!</definedName>
    <definedName name="DATA17" localSheetId="12">#REF!</definedName>
    <definedName name="DATA17" localSheetId="45">#REF!</definedName>
    <definedName name="DATA17" localSheetId="4">#REF!</definedName>
    <definedName name="DATA17">#REF!</definedName>
    <definedName name="DATA2" localSheetId="3">#REF!</definedName>
    <definedName name="DATA2" localSheetId="22">#REF!</definedName>
    <definedName name="DATA2" localSheetId="21">#REF!</definedName>
    <definedName name="DATA2" localSheetId="7">#REF!</definedName>
    <definedName name="DATA2" localSheetId="9">#REF!</definedName>
    <definedName name="DATA2" localSheetId="11">#REF!</definedName>
    <definedName name="DATA2" localSheetId="10">#REF!</definedName>
    <definedName name="DATA2" localSheetId="24">#REF!</definedName>
    <definedName name="DATA2" localSheetId="23">#REF!</definedName>
    <definedName name="DATA2" localSheetId="12">#REF!</definedName>
    <definedName name="DATA2" localSheetId="45">#REF!</definedName>
    <definedName name="DATA2" localSheetId="4">#REF!</definedName>
    <definedName name="DATA2">#REF!</definedName>
    <definedName name="DATA3" localSheetId="3">#REF!</definedName>
    <definedName name="DATA3" localSheetId="22">#REF!</definedName>
    <definedName name="DATA3" localSheetId="21">#REF!</definedName>
    <definedName name="DATA3" localSheetId="7">#REF!</definedName>
    <definedName name="DATA3" localSheetId="9">#REF!</definedName>
    <definedName name="DATA3" localSheetId="11">#REF!</definedName>
    <definedName name="DATA3" localSheetId="10">#REF!</definedName>
    <definedName name="DATA3" localSheetId="24">#REF!</definedName>
    <definedName name="DATA3" localSheetId="23">#REF!</definedName>
    <definedName name="DATA3" localSheetId="12">#REF!</definedName>
    <definedName name="DATA3" localSheetId="45">#REF!</definedName>
    <definedName name="DATA3" localSheetId="4">#REF!</definedName>
    <definedName name="DATA3">#REF!</definedName>
    <definedName name="DATA4" localSheetId="3">#REF!</definedName>
    <definedName name="DATA4" localSheetId="22">#REF!</definedName>
    <definedName name="DATA4" localSheetId="21">#REF!</definedName>
    <definedName name="DATA4" localSheetId="7">#REF!</definedName>
    <definedName name="DATA4" localSheetId="9">#REF!</definedName>
    <definedName name="DATA4" localSheetId="11">#REF!</definedName>
    <definedName name="DATA4" localSheetId="10">#REF!</definedName>
    <definedName name="DATA4" localSheetId="24">#REF!</definedName>
    <definedName name="DATA4" localSheetId="23">#REF!</definedName>
    <definedName name="DATA4" localSheetId="12">#REF!</definedName>
    <definedName name="DATA4" localSheetId="45">#REF!</definedName>
    <definedName name="DATA4" localSheetId="4">#REF!</definedName>
    <definedName name="DATA4">#REF!</definedName>
    <definedName name="DATA5" localSheetId="3">#REF!</definedName>
    <definedName name="DATA5" localSheetId="22">#REF!</definedName>
    <definedName name="DATA5" localSheetId="21">#REF!</definedName>
    <definedName name="DATA5" localSheetId="7">#REF!</definedName>
    <definedName name="DATA5" localSheetId="9">#REF!</definedName>
    <definedName name="DATA5" localSheetId="11">#REF!</definedName>
    <definedName name="DATA5" localSheetId="10">#REF!</definedName>
    <definedName name="DATA5" localSheetId="24">#REF!</definedName>
    <definedName name="DATA5" localSheetId="23">#REF!</definedName>
    <definedName name="DATA5" localSheetId="12">#REF!</definedName>
    <definedName name="DATA5" localSheetId="45">#REF!</definedName>
    <definedName name="DATA5" localSheetId="4">#REF!</definedName>
    <definedName name="DATA5">#REF!</definedName>
    <definedName name="DATA6" localSheetId="3">#REF!</definedName>
    <definedName name="DATA6" localSheetId="22">#REF!</definedName>
    <definedName name="DATA6" localSheetId="21">#REF!</definedName>
    <definedName name="DATA6" localSheetId="7">#REF!</definedName>
    <definedName name="DATA6" localSheetId="9">#REF!</definedName>
    <definedName name="DATA6" localSheetId="11">#REF!</definedName>
    <definedName name="DATA6" localSheetId="10">#REF!</definedName>
    <definedName name="DATA6" localSheetId="24">#REF!</definedName>
    <definedName name="DATA6" localSheetId="23">#REF!</definedName>
    <definedName name="DATA6" localSheetId="12">#REF!</definedName>
    <definedName name="DATA6" localSheetId="45">#REF!</definedName>
    <definedName name="DATA6" localSheetId="4">#REF!</definedName>
    <definedName name="DATA6">#REF!</definedName>
    <definedName name="DATA7" localSheetId="3">#REF!</definedName>
    <definedName name="DATA7" localSheetId="22">#REF!</definedName>
    <definedName name="DATA7" localSheetId="21">#REF!</definedName>
    <definedName name="DATA7" localSheetId="7">#REF!</definedName>
    <definedName name="DATA7" localSheetId="9">#REF!</definedName>
    <definedName name="DATA7" localSheetId="11">#REF!</definedName>
    <definedName name="DATA7" localSheetId="10">#REF!</definedName>
    <definedName name="DATA7" localSheetId="24">#REF!</definedName>
    <definedName name="DATA7" localSheetId="23">#REF!</definedName>
    <definedName name="DATA7" localSheetId="12">#REF!</definedName>
    <definedName name="DATA7" localSheetId="45">#REF!</definedName>
    <definedName name="DATA7" localSheetId="4">#REF!</definedName>
    <definedName name="DATA7">#REF!</definedName>
    <definedName name="DATA8" localSheetId="3">#REF!</definedName>
    <definedName name="DATA8" localSheetId="22">#REF!</definedName>
    <definedName name="DATA8" localSheetId="21">#REF!</definedName>
    <definedName name="DATA8" localSheetId="7">#REF!</definedName>
    <definedName name="DATA8" localSheetId="9">#REF!</definedName>
    <definedName name="DATA8" localSheetId="11">#REF!</definedName>
    <definedName name="DATA8" localSheetId="10">#REF!</definedName>
    <definedName name="DATA8" localSheetId="24">#REF!</definedName>
    <definedName name="DATA8" localSheetId="23">#REF!</definedName>
    <definedName name="DATA8" localSheetId="12">#REF!</definedName>
    <definedName name="DATA8" localSheetId="45">#REF!</definedName>
    <definedName name="DATA8" localSheetId="4">#REF!</definedName>
    <definedName name="DATA8">#REF!</definedName>
    <definedName name="DATA9" localSheetId="3">#REF!</definedName>
    <definedName name="DATA9" localSheetId="22">#REF!</definedName>
    <definedName name="DATA9" localSheetId="21">#REF!</definedName>
    <definedName name="DATA9" localSheetId="7">#REF!</definedName>
    <definedName name="DATA9" localSheetId="9">#REF!</definedName>
    <definedName name="DATA9" localSheetId="11">#REF!</definedName>
    <definedName name="DATA9" localSheetId="10">#REF!</definedName>
    <definedName name="DATA9" localSheetId="24">#REF!</definedName>
    <definedName name="DATA9" localSheetId="23">#REF!</definedName>
    <definedName name="DATA9" localSheetId="12">#REF!</definedName>
    <definedName name="DATA9" localSheetId="45">#REF!</definedName>
    <definedName name="DATA9" localSheetId="4">#REF!</definedName>
    <definedName name="DATA9">#REF!</definedName>
    <definedName name="Excel_BuiltIn__FilterDatabase_2" localSheetId="3">#REF!</definedName>
    <definedName name="Excel_BuiltIn__FilterDatabase_2" localSheetId="22">#REF!</definedName>
    <definedName name="Excel_BuiltIn__FilterDatabase_2" localSheetId="21">#REF!</definedName>
    <definedName name="Excel_BuiltIn__FilterDatabase_2" localSheetId="7">#REF!</definedName>
    <definedName name="Excel_BuiltIn__FilterDatabase_2" localSheetId="9">#REF!</definedName>
    <definedName name="Excel_BuiltIn__FilterDatabase_2" localSheetId="11">#REF!</definedName>
    <definedName name="Excel_BuiltIn__FilterDatabase_2" localSheetId="10">#REF!</definedName>
    <definedName name="Excel_BuiltIn__FilterDatabase_2" localSheetId="23">#REF!</definedName>
    <definedName name="Excel_BuiltIn__FilterDatabase_2" localSheetId="14">#REF!</definedName>
    <definedName name="Excel_BuiltIn__FilterDatabase_2" localSheetId="12">#REF!</definedName>
    <definedName name="Excel_BuiltIn__FilterDatabase_2" localSheetId="45">#REF!</definedName>
    <definedName name="Excel_BuiltIn__FilterDatabase_2" localSheetId="4">#REF!</definedName>
    <definedName name="Excel_BuiltIn__FilterDatabase_2">#REF!</definedName>
    <definedName name="financialcalcs" localSheetId="3">#REF!</definedName>
    <definedName name="financialcalcs" localSheetId="22">#REF!</definedName>
    <definedName name="financialcalcs" localSheetId="21">#REF!</definedName>
    <definedName name="financialcalcs" localSheetId="7">#REF!</definedName>
    <definedName name="financialcalcs" localSheetId="9">#REF!</definedName>
    <definedName name="financialcalcs" localSheetId="11">#REF!</definedName>
    <definedName name="financialcalcs" localSheetId="10">#REF!</definedName>
    <definedName name="financialcalcs" localSheetId="24">#REF!</definedName>
    <definedName name="financialcalcs" localSheetId="23">#REF!</definedName>
    <definedName name="financialcalcs" localSheetId="12">#REF!</definedName>
    <definedName name="financialcalcs" localSheetId="45">#REF!</definedName>
    <definedName name="financialcalcs" localSheetId="15">#REF!</definedName>
    <definedName name="financialcalcs" localSheetId="4">#REF!</definedName>
    <definedName name="financialcalcs">#REF!</definedName>
    <definedName name="leverage" localSheetId="3">#REF!</definedName>
    <definedName name="leverage" localSheetId="22">#REF!</definedName>
    <definedName name="leverage" localSheetId="21">#REF!</definedName>
    <definedName name="leverage" localSheetId="7">#REF!</definedName>
    <definedName name="leverage" localSheetId="9">#REF!</definedName>
    <definedName name="leverage" localSheetId="11">#REF!</definedName>
    <definedName name="leverage" localSheetId="10">#REF!</definedName>
    <definedName name="leverage" localSheetId="24">#REF!</definedName>
    <definedName name="leverage" localSheetId="23">#REF!</definedName>
    <definedName name="leverage" localSheetId="12">#REF!</definedName>
    <definedName name="leverage" localSheetId="45">#REF!</definedName>
    <definedName name="leverage" localSheetId="4">#REF!</definedName>
    <definedName name="leverage">#REF!</definedName>
    <definedName name="limcount" hidden="1">2</definedName>
    <definedName name="MOD_prices">'[1]Pricing - Current'!$3:$74</definedName>
    <definedName name="PortionInDeal" localSheetId="3">#REF!</definedName>
    <definedName name="PortionInDeal" localSheetId="22">#REF!</definedName>
    <definedName name="PortionInDeal" localSheetId="21">#REF!</definedName>
    <definedName name="PortionInDeal" localSheetId="7">#REF!</definedName>
    <definedName name="PortionInDeal" localSheetId="9">#REF!</definedName>
    <definedName name="PortionInDeal" localSheetId="11">#REF!</definedName>
    <definedName name="PortionInDeal" localSheetId="10">#REF!</definedName>
    <definedName name="PortionInDeal" localSheetId="24">#REF!</definedName>
    <definedName name="PortionInDeal" localSheetId="23">#REF!</definedName>
    <definedName name="PortionInDeal" localSheetId="12">#REF!</definedName>
    <definedName name="PortionInDeal" localSheetId="45">#REF!</definedName>
    <definedName name="PortionInDeal" localSheetId="15">#REF!</definedName>
    <definedName name="PortionInDeal" localSheetId="4">#REF!</definedName>
    <definedName name="PortionInDeal">#REF!</definedName>
    <definedName name="Price_chart" localSheetId="3">#REF!</definedName>
    <definedName name="Price_chart" localSheetId="22">#REF!</definedName>
    <definedName name="Price_chart" localSheetId="21">#REF!</definedName>
    <definedName name="Price_chart" localSheetId="7">#REF!</definedName>
    <definedName name="Price_chart" localSheetId="9">#REF!</definedName>
    <definedName name="Price_chart" localSheetId="11">#REF!</definedName>
    <definedName name="Price_chart" localSheetId="10">#REF!</definedName>
    <definedName name="Price_chart" localSheetId="24">#REF!</definedName>
    <definedName name="Price_chart" localSheetId="23">#REF!</definedName>
    <definedName name="Price_chart" localSheetId="12">#REF!</definedName>
    <definedName name="Price_chart" localSheetId="45">#REF!</definedName>
    <definedName name="Price_chart" localSheetId="4">#REF!</definedName>
    <definedName name="Price_chart">#REF!</definedName>
    <definedName name="Prices_cmai" localSheetId="3">#REF!</definedName>
    <definedName name="Prices_cmai" localSheetId="22">#REF!</definedName>
    <definedName name="Prices_cmai" localSheetId="21">#REF!</definedName>
    <definedName name="Prices_cmai" localSheetId="7">#REF!</definedName>
    <definedName name="Prices_cmai" localSheetId="9">#REF!</definedName>
    <definedName name="Prices_cmai" localSheetId="11">#REF!</definedName>
    <definedName name="Prices_cmai" localSheetId="10">#REF!</definedName>
    <definedName name="Prices_cmai" localSheetId="24">#REF!</definedName>
    <definedName name="Prices_cmai" localSheetId="23">#REF!</definedName>
    <definedName name="Prices_cmai" localSheetId="12">#REF!</definedName>
    <definedName name="Prices_cmai" localSheetId="45">#REF!</definedName>
    <definedName name="Prices_cmai" localSheetId="4">#REF!</definedName>
    <definedName name="Prices_cmai">#REF!</definedName>
    <definedName name="_xlnm.Print_Area" localSheetId="29">' Break EvenPoint'!$A$1:$B$16</definedName>
    <definedName name="_xlnm.Print_Area" localSheetId="30">'BEP Sensitivity-350 KTPA'!$B$1:$C$16</definedName>
    <definedName name="_xlnm.Print_Area" localSheetId="31">'BEP Sensitivity-500 KTPA'!$B$1:$C$16</definedName>
    <definedName name="_xlnm.Print_Area" localSheetId="41">'DSCR-350 KTPA'!$A$1:$J$17</definedName>
    <definedName name="_xlnm.Print_Area" localSheetId="44">'Interest Calculation'!$A$1:$J$36</definedName>
    <definedName name="_xlnm.Print_Area" localSheetId="26">Profitability!$A$1:$K$17</definedName>
    <definedName name="_xlnm.Print_Area" localSheetId="37">'Profitability - Current'!$A$1:$B$17</definedName>
    <definedName name="_xlnm.Print_Area" localSheetId="39">'Sensitivity Current Case'!$B$1:$C$16</definedName>
    <definedName name="product" localSheetId="3">#REF!</definedName>
    <definedName name="product" localSheetId="22">#REF!</definedName>
    <definedName name="product" localSheetId="21">#REF!</definedName>
    <definedName name="product" localSheetId="7">#REF!</definedName>
    <definedName name="product" localSheetId="9">#REF!</definedName>
    <definedName name="product" localSheetId="11">#REF!</definedName>
    <definedName name="product" localSheetId="10">#REF!</definedName>
    <definedName name="product" localSheetId="24">#REF!</definedName>
    <definedName name="product" localSheetId="23">#REF!</definedName>
    <definedName name="product" localSheetId="12">#REF!</definedName>
    <definedName name="product" localSheetId="45">#REF!</definedName>
    <definedName name="product" localSheetId="4">#REF!</definedName>
    <definedName name="product">#REF!</definedName>
    <definedName name="Product2" localSheetId="3">#REF!</definedName>
    <definedName name="Product2" localSheetId="22">#REF!</definedName>
    <definedName name="Product2" localSheetId="21">#REF!</definedName>
    <definedName name="Product2" localSheetId="7">#REF!</definedName>
    <definedName name="Product2" localSheetId="9">#REF!</definedName>
    <definedName name="Product2" localSheetId="11">#REF!</definedName>
    <definedName name="Product2" localSheetId="10">#REF!</definedName>
    <definedName name="Product2" localSheetId="24">#REF!</definedName>
    <definedName name="Product2" localSheetId="23">#REF!</definedName>
    <definedName name="Product2" localSheetId="12">#REF!</definedName>
    <definedName name="Product2" localSheetId="45">#REF!</definedName>
    <definedName name="Product2" localSheetId="4">#REF!</definedName>
    <definedName name="Product2">#REF!</definedName>
    <definedName name="product25" localSheetId="3">#REF!</definedName>
    <definedName name="product25" localSheetId="22">#REF!</definedName>
    <definedName name="product25" localSheetId="21">#REF!</definedName>
    <definedName name="product25" localSheetId="7">#REF!</definedName>
    <definedName name="product25" localSheetId="9">#REF!</definedName>
    <definedName name="product25" localSheetId="11">#REF!</definedName>
    <definedName name="product25" localSheetId="10">#REF!</definedName>
    <definedName name="product25" localSheetId="23">#REF!</definedName>
    <definedName name="product25" localSheetId="12">#REF!</definedName>
    <definedName name="product25" localSheetId="45">#REF!</definedName>
    <definedName name="product25" localSheetId="4">#REF!</definedName>
    <definedName name="product25">#REF!</definedName>
    <definedName name="quantity">[2]Terms!$C$1</definedName>
    <definedName name="rate" localSheetId="3">#REF!</definedName>
    <definedName name="rate" localSheetId="22">#REF!</definedName>
    <definedName name="rate" localSheetId="21">#REF!</definedName>
    <definedName name="rate" localSheetId="7">#REF!</definedName>
    <definedName name="rate" localSheetId="9">#REF!</definedName>
    <definedName name="rate" localSheetId="11">#REF!</definedName>
    <definedName name="rate" localSheetId="10">#REF!</definedName>
    <definedName name="rate" localSheetId="24">#REF!</definedName>
    <definedName name="rate" localSheetId="23">#REF!</definedName>
    <definedName name="rate" localSheetId="12">#REF!</definedName>
    <definedName name="rate" localSheetId="45">#REF!</definedName>
    <definedName name="rate" localSheetId="15">#REF!</definedName>
    <definedName name="rate" localSheetId="4">#REF!</definedName>
    <definedName name="rate">#REF!</definedName>
    <definedName name="ReportTitle1" localSheetId="3">#REF!</definedName>
    <definedName name="ReportTitle1" localSheetId="22">#REF!</definedName>
    <definedName name="ReportTitle1" localSheetId="21">#REF!</definedName>
    <definedName name="ReportTitle1" localSheetId="7">#REF!</definedName>
    <definedName name="ReportTitle1" localSheetId="9">#REF!</definedName>
    <definedName name="ReportTitle1" localSheetId="11">#REF!</definedName>
    <definedName name="ReportTitle1" localSheetId="10">#REF!</definedName>
    <definedName name="ReportTitle1" localSheetId="24">#REF!</definedName>
    <definedName name="ReportTitle1" localSheetId="23">#REF!</definedName>
    <definedName name="ReportTitle1" localSheetId="12">#REF!</definedName>
    <definedName name="ReportTitle1" localSheetId="45">#REF!</definedName>
    <definedName name="ReportTitle1" localSheetId="4">#REF!</definedName>
    <definedName name="ReportTitle1">#REF!</definedName>
    <definedName name="RowDetails1" localSheetId="3">#REF!</definedName>
    <definedName name="RowDetails1" localSheetId="22">#REF!</definedName>
    <definedName name="RowDetails1" localSheetId="21">#REF!</definedName>
    <definedName name="RowDetails1" localSheetId="7">#REF!</definedName>
    <definedName name="RowDetails1" localSheetId="9">#REF!</definedName>
    <definedName name="RowDetails1" localSheetId="11">#REF!</definedName>
    <definedName name="RowDetails1" localSheetId="10">#REF!</definedName>
    <definedName name="RowDetails1" localSheetId="24">#REF!</definedName>
    <definedName name="RowDetails1" localSheetId="23">#REF!</definedName>
    <definedName name="RowDetails1" localSheetId="12">#REF!</definedName>
    <definedName name="RowDetails1" localSheetId="45">#REF!</definedName>
    <definedName name="RowDetails1" localSheetId="4">#REF!</definedName>
    <definedName name="RowDetails1">#REF!</definedName>
    <definedName name="Scenario45">Sheet3!$K$1</definedName>
    <definedName name="sencount" hidden="1">2</definedName>
    <definedName name="Site" localSheetId="3">#REF!</definedName>
    <definedName name="Site" localSheetId="22">#REF!</definedName>
    <definedName name="Site" localSheetId="21">#REF!</definedName>
    <definedName name="Site" localSheetId="7">#REF!</definedName>
    <definedName name="Site" localSheetId="9">#REF!</definedName>
    <definedName name="Site" localSheetId="11">#REF!</definedName>
    <definedName name="Site" localSheetId="10">#REF!</definedName>
    <definedName name="Site" localSheetId="24">#REF!</definedName>
    <definedName name="Site" localSheetId="23">#REF!</definedName>
    <definedName name="Site" localSheetId="12">#REF!</definedName>
    <definedName name="Site" localSheetId="45">#REF!</definedName>
    <definedName name="Site" localSheetId="4">#REF!</definedName>
    <definedName name="Site">#REF!</definedName>
    <definedName name="Table" localSheetId="3">#REF!</definedName>
    <definedName name="Table" localSheetId="22">#REF!</definedName>
    <definedName name="Table" localSheetId="21">#REF!</definedName>
    <definedName name="Table" localSheetId="7">#REF!</definedName>
    <definedName name="Table" localSheetId="9">#REF!</definedName>
    <definedName name="Table" localSheetId="11">#REF!</definedName>
    <definedName name="Table" localSheetId="10">#REF!</definedName>
    <definedName name="Table" localSheetId="24">#REF!</definedName>
    <definedName name="Table" localSheetId="23">#REF!</definedName>
    <definedName name="Table" localSheetId="12">#REF!</definedName>
    <definedName name="Table" localSheetId="45">#REF!</definedName>
    <definedName name="Table" localSheetId="15">#REF!</definedName>
    <definedName name="Table" localSheetId="4">#REF!</definedName>
    <definedName name="Table">#REF!</definedName>
    <definedName name="Term" localSheetId="3">#REF!</definedName>
    <definedName name="Term" localSheetId="22">#REF!</definedName>
    <definedName name="Term" localSheetId="21">#REF!</definedName>
    <definedName name="Term" localSheetId="7">#REF!</definedName>
    <definedName name="Term" localSheetId="9">#REF!</definedName>
    <definedName name="Term" localSheetId="11">#REF!</definedName>
    <definedName name="Term" localSheetId="10">#REF!</definedName>
    <definedName name="Term" localSheetId="24">#REF!</definedName>
    <definedName name="Term" localSheetId="23">#REF!</definedName>
    <definedName name="Term" localSheetId="12">#REF!</definedName>
    <definedName name="Term" localSheetId="45">#REF!</definedName>
    <definedName name="Term" localSheetId="4">#REF!</definedName>
    <definedName name="Term">#REF!</definedName>
    <definedName name="TermDiscperiods" localSheetId="3">#REF!</definedName>
    <definedName name="TermDiscperiods" localSheetId="22">#REF!</definedName>
    <definedName name="TermDiscperiods" localSheetId="21">#REF!</definedName>
    <definedName name="TermDiscperiods" localSheetId="7">#REF!</definedName>
    <definedName name="TermDiscperiods" localSheetId="9">#REF!</definedName>
    <definedName name="TermDiscperiods" localSheetId="11">#REF!</definedName>
    <definedName name="TermDiscperiods" localSheetId="10">#REF!</definedName>
    <definedName name="TermDiscperiods" localSheetId="24">#REF!</definedName>
    <definedName name="TermDiscperiods" localSheetId="23">#REF!</definedName>
    <definedName name="TermDiscperiods" localSheetId="12">#REF!</definedName>
    <definedName name="TermDiscperiods" localSheetId="45">#REF!</definedName>
    <definedName name="TermDiscperiods" localSheetId="4">#REF!</definedName>
    <definedName name="TermDiscperiods">#REF!</definedName>
    <definedName name="TEST1" localSheetId="3">#REF!</definedName>
    <definedName name="TEST1" localSheetId="22">#REF!</definedName>
    <definedName name="TEST1" localSheetId="21">#REF!</definedName>
    <definedName name="TEST1" localSheetId="7">#REF!</definedName>
    <definedName name="TEST1" localSheetId="9">#REF!</definedName>
    <definedName name="TEST1" localSheetId="11">#REF!</definedName>
    <definedName name="TEST1" localSheetId="10">#REF!</definedName>
    <definedName name="TEST1" localSheetId="24">#REF!</definedName>
    <definedName name="TEST1" localSheetId="23">#REF!</definedName>
    <definedName name="TEST1" localSheetId="12">#REF!</definedName>
    <definedName name="TEST1" localSheetId="45">#REF!</definedName>
    <definedName name="TEST1" localSheetId="4">#REF!</definedName>
    <definedName name="TEST1">#REF!</definedName>
    <definedName name="TEST2" localSheetId="3">#REF!</definedName>
    <definedName name="TEST2" localSheetId="22">#REF!</definedName>
    <definedName name="TEST2" localSheetId="21">#REF!</definedName>
    <definedName name="TEST2" localSheetId="7">#REF!</definedName>
    <definedName name="TEST2" localSheetId="9">#REF!</definedName>
    <definedName name="TEST2" localSheetId="11">#REF!</definedName>
    <definedName name="TEST2" localSheetId="10">#REF!</definedName>
    <definedName name="TEST2" localSheetId="24">#REF!</definedName>
    <definedName name="TEST2" localSheetId="23">#REF!</definedName>
    <definedName name="TEST2" localSheetId="12">#REF!</definedName>
    <definedName name="TEST2" localSheetId="45">#REF!</definedName>
    <definedName name="TEST2" localSheetId="4">#REF!</definedName>
    <definedName name="TEST2">#REF!</definedName>
    <definedName name="TEST3" localSheetId="3">#REF!</definedName>
    <definedName name="TEST3" localSheetId="22">#REF!</definedName>
    <definedName name="TEST3" localSheetId="21">#REF!</definedName>
    <definedName name="TEST3" localSheetId="7">#REF!</definedName>
    <definedName name="TEST3" localSheetId="9">#REF!</definedName>
    <definedName name="TEST3" localSheetId="11">#REF!</definedName>
    <definedName name="TEST3" localSheetId="10">#REF!</definedName>
    <definedName name="TEST3" localSheetId="24">#REF!</definedName>
    <definedName name="TEST3" localSheetId="23">#REF!</definedName>
    <definedName name="TEST3" localSheetId="12">#REF!</definedName>
    <definedName name="TEST3" localSheetId="45">#REF!</definedName>
    <definedName name="TEST3" localSheetId="4">#REF!</definedName>
    <definedName name="TEST3">#REF!</definedName>
    <definedName name="TESTHKEY" localSheetId="3">#REF!</definedName>
    <definedName name="TESTHKEY" localSheetId="22">#REF!</definedName>
    <definedName name="TESTHKEY" localSheetId="21">#REF!</definedName>
    <definedName name="TESTHKEY" localSheetId="7">#REF!</definedName>
    <definedName name="TESTHKEY" localSheetId="9">#REF!</definedName>
    <definedName name="TESTHKEY" localSheetId="11">#REF!</definedName>
    <definedName name="TESTHKEY" localSheetId="10">#REF!</definedName>
    <definedName name="TESTHKEY" localSheetId="24">#REF!</definedName>
    <definedName name="TESTHKEY" localSheetId="23">#REF!</definedName>
    <definedName name="TESTHKEY" localSheetId="12">#REF!</definedName>
    <definedName name="TESTHKEY" localSheetId="45">#REF!</definedName>
    <definedName name="TESTHKEY" localSheetId="4">#REF!</definedName>
    <definedName name="TESTHKEY">#REF!</definedName>
    <definedName name="TESTKEYS" localSheetId="3">#REF!</definedName>
    <definedName name="TESTKEYS" localSheetId="22">#REF!</definedName>
    <definedName name="TESTKEYS" localSheetId="21">#REF!</definedName>
    <definedName name="TESTKEYS" localSheetId="7">#REF!</definedName>
    <definedName name="TESTKEYS" localSheetId="9">#REF!</definedName>
    <definedName name="TESTKEYS" localSheetId="11">#REF!</definedName>
    <definedName name="TESTKEYS" localSheetId="10">#REF!</definedName>
    <definedName name="TESTKEYS" localSheetId="24">#REF!</definedName>
    <definedName name="TESTKEYS" localSheetId="23">#REF!</definedName>
    <definedName name="TESTKEYS" localSheetId="12">#REF!</definedName>
    <definedName name="TESTKEYS" localSheetId="45">#REF!</definedName>
    <definedName name="TESTKEYS" localSheetId="4">#REF!</definedName>
    <definedName name="TESTKEYS">#REF!</definedName>
    <definedName name="TESTVKEY" localSheetId="3">#REF!</definedName>
    <definedName name="TESTVKEY" localSheetId="22">#REF!</definedName>
    <definedName name="TESTVKEY" localSheetId="21">#REF!</definedName>
    <definedName name="TESTVKEY" localSheetId="7">#REF!</definedName>
    <definedName name="TESTVKEY" localSheetId="9">#REF!</definedName>
    <definedName name="TESTVKEY" localSheetId="11">#REF!</definedName>
    <definedName name="TESTVKEY" localSheetId="10">#REF!</definedName>
    <definedName name="TESTVKEY" localSheetId="24">#REF!</definedName>
    <definedName name="TESTVKEY" localSheetId="23">#REF!</definedName>
    <definedName name="TESTVKEY" localSheetId="12">#REF!</definedName>
    <definedName name="TESTVKEY" localSheetId="45">#REF!</definedName>
    <definedName name="TESTVKEY" localSheetId="4">#REF!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2" i="81" l="1"/>
  <c r="D17" i="81"/>
  <c r="G7" i="78" l="1"/>
  <c r="G54" i="72"/>
  <c r="G55" i="83"/>
  <c r="G68" i="83"/>
  <c r="I21" i="77"/>
  <c r="J21" i="77"/>
  <c r="K21" i="77"/>
  <c r="L21" i="77"/>
  <c r="M21" i="77"/>
  <c r="N21" i="77"/>
  <c r="O21" i="77"/>
  <c r="P21" i="77"/>
  <c r="Q21" i="77"/>
  <c r="R21" i="77"/>
  <c r="S21" i="77"/>
  <c r="T21" i="77"/>
  <c r="U21" i="77"/>
  <c r="V21" i="77"/>
  <c r="W21" i="77"/>
  <c r="X21" i="77"/>
  <c r="Y21" i="77"/>
  <c r="Z21" i="77"/>
  <c r="I22" i="77"/>
  <c r="J22" i="77"/>
  <c r="K22" i="77"/>
  <c r="L22" i="77"/>
  <c r="M22" i="77"/>
  <c r="N22" i="77"/>
  <c r="O22" i="77"/>
  <c r="P22" i="77"/>
  <c r="Q22" i="77"/>
  <c r="R22" i="77"/>
  <c r="S22" i="77"/>
  <c r="T22" i="77"/>
  <c r="U22" i="77"/>
  <c r="V22" i="77"/>
  <c r="W22" i="77"/>
  <c r="X22" i="77"/>
  <c r="Y22" i="77"/>
  <c r="Z22" i="77"/>
  <c r="I24" i="77"/>
  <c r="J24" i="77"/>
  <c r="K24" i="77"/>
  <c r="L24" i="77"/>
  <c r="M24" i="77"/>
  <c r="N24" i="77"/>
  <c r="O24" i="77"/>
  <c r="P24" i="77"/>
  <c r="Q24" i="77"/>
  <c r="R24" i="77"/>
  <c r="S24" i="77"/>
  <c r="T24" i="77"/>
  <c r="U24" i="77"/>
  <c r="V24" i="77"/>
  <c r="W24" i="77"/>
  <c r="X24" i="77"/>
  <c r="Y24" i="77"/>
  <c r="Z24" i="77"/>
  <c r="I17" i="105" l="1"/>
  <c r="J17" i="105"/>
  <c r="K17" i="105"/>
  <c r="L17" i="105"/>
  <c r="M17" i="105"/>
  <c r="N17" i="105"/>
  <c r="O17" i="105"/>
  <c r="P17" i="105"/>
  <c r="Q17" i="105"/>
  <c r="R17" i="105"/>
  <c r="S17" i="105"/>
  <c r="T17" i="105"/>
  <c r="U17" i="105"/>
  <c r="V17" i="105"/>
  <c r="W17" i="105"/>
  <c r="X17" i="105"/>
  <c r="Y17" i="105"/>
  <c r="Z17" i="105"/>
  <c r="I18" i="105"/>
  <c r="J18" i="105"/>
  <c r="K18" i="105"/>
  <c r="L18" i="105"/>
  <c r="M18" i="105"/>
  <c r="N18" i="105"/>
  <c r="O18" i="105"/>
  <c r="P18" i="105"/>
  <c r="Q18" i="105"/>
  <c r="R18" i="105"/>
  <c r="S18" i="105"/>
  <c r="T18" i="105"/>
  <c r="U18" i="105"/>
  <c r="V18" i="105"/>
  <c r="W18" i="105"/>
  <c r="X18" i="105"/>
  <c r="Y18" i="105"/>
  <c r="Z18" i="105"/>
  <c r="H18" i="105"/>
  <c r="H17" i="105"/>
  <c r="I15" i="77"/>
  <c r="J15" i="77"/>
  <c r="K15" i="77"/>
  <c r="L15" i="77"/>
  <c r="M15" i="77"/>
  <c r="N15" i="77"/>
  <c r="O15" i="77"/>
  <c r="P15" i="77"/>
  <c r="Q15" i="77"/>
  <c r="R15" i="77"/>
  <c r="S15" i="77"/>
  <c r="T15" i="77"/>
  <c r="U15" i="77"/>
  <c r="V15" i="77"/>
  <c r="W15" i="77"/>
  <c r="X15" i="77"/>
  <c r="Y15" i="77"/>
  <c r="Z15" i="77"/>
  <c r="I16" i="77"/>
  <c r="J16" i="77"/>
  <c r="K16" i="77"/>
  <c r="L16" i="77"/>
  <c r="M16" i="77"/>
  <c r="N16" i="77"/>
  <c r="O16" i="77"/>
  <c r="P16" i="77"/>
  <c r="Q16" i="77"/>
  <c r="R16" i="77"/>
  <c r="S16" i="77"/>
  <c r="T16" i="77"/>
  <c r="U16" i="77"/>
  <c r="V16" i="77"/>
  <c r="W16" i="77"/>
  <c r="X16" i="77"/>
  <c r="Y16" i="77"/>
  <c r="Z16" i="77"/>
  <c r="H16" i="77"/>
  <c r="H15" i="77"/>
  <c r="J16" i="108"/>
  <c r="R16" i="108"/>
  <c r="Z16" i="108"/>
  <c r="N17" i="108"/>
  <c r="O17" i="108"/>
  <c r="V17" i="108"/>
  <c r="W17" i="108"/>
  <c r="K26" i="108"/>
  <c r="L26" i="108" s="1"/>
  <c r="M26" i="108" s="1"/>
  <c r="N26" i="108" s="1"/>
  <c r="O26" i="108" s="1"/>
  <c r="P26" i="108" s="1"/>
  <c r="Q26" i="108" s="1"/>
  <c r="R26" i="108" s="1"/>
  <c r="S26" i="108" s="1"/>
  <c r="T26" i="108" s="1"/>
  <c r="U26" i="108" s="1"/>
  <c r="V26" i="108" s="1"/>
  <c r="W26" i="108" s="1"/>
  <c r="X26" i="108" s="1"/>
  <c r="Y26" i="108" s="1"/>
  <c r="Z26" i="108" s="1"/>
  <c r="AA26" i="108" s="1"/>
  <c r="H26" i="108"/>
  <c r="I26" i="108" s="1"/>
  <c r="J26" i="108" s="1"/>
  <c r="AA10" i="108"/>
  <c r="Z10" i="108"/>
  <c r="Y10" i="108"/>
  <c r="X10" i="108"/>
  <c r="W10" i="108"/>
  <c r="V10" i="108"/>
  <c r="U10" i="108"/>
  <c r="T10" i="108"/>
  <c r="S10" i="108"/>
  <c r="R10" i="108"/>
  <c r="Q10" i="108"/>
  <c r="P10" i="108"/>
  <c r="O10" i="108"/>
  <c r="N10" i="108"/>
  <c r="M10" i="108"/>
  <c r="L10" i="108"/>
  <c r="K10" i="108"/>
  <c r="J10" i="108"/>
  <c r="I10" i="108"/>
  <c r="H10" i="108"/>
  <c r="G7" i="108"/>
  <c r="G8" i="108" s="1"/>
  <c r="G8" i="105" s="1"/>
  <c r="D36" i="79"/>
  <c r="D32" i="79"/>
  <c r="P17" i="108" s="1"/>
  <c r="D29" i="79"/>
  <c r="K16" i="108" s="1"/>
  <c r="D27" i="79"/>
  <c r="M15" i="108" s="1"/>
  <c r="CM72" i="83"/>
  <c r="CM73" i="83"/>
  <c r="CM71" i="83"/>
  <c r="Y16" i="108" l="1"/>
  <c r="T15" i="108"/>
  <c r="U17" i="108"/>
  <c r="P16" i="108"/>
  <c r="K15" i="108"/>
  <c r="T17" i="108"/>
  <c r="Z15" i="108"/>
  <c r="H15" i="108"/>
  <c r="AA17" i="108"/>
  <c r="S17" i="108"/>
  <c r="K17" i="108"/>
  <c r="V16" i="108"/>
  <c r="N16" i="108"/>
  <c r="Y15" i="108"/>
  <c r="Q15" i="108"/>
  <c r="I15" i="108"/>
  <c r="U15" i="108"/>
  <c r="I16" i="108"/>
  <c r="M17" i="108"/>
  <c r="AA15" i="108"/>
  <c r="W16" i="108"/>
  <c r="O16" i="108"/>
  <c r="J15" i="108"/>
  <c r="Z17" i="108"/>
  <c r="R17" i="108"/>
  <c r="J17" i="108"/>
  <c r="U16" i="108"/>
  <c r="M16" i="108"/>
  <c r="X15" i="108"/>
  <c r="P15" i="108"/>
  <c r="Q16" i="108"/>
  <c r="L15" i="108"/>
  <c r="X16" i="108"/>
  <c r="S15" i="108"/>
  <c r="L17" i="108"/>
  <c r="R15" i="108"/>
  <c r="H16" i="108"/>
  <c r="Y17" i="108"/>
  <c r="Q17" i="108"/>
  <c r="I17" i="108"/>
  <c r="T16" i="108"/>
  <c r="L16" i="108"/>
  <c r="W15" i="108"/>
  <c r="O15" i="108"/>
  <c r="H17" i="108"/>
  <c r="X17" i="108"/>
  <c r="AA16" i="108"/>
  <c r="S16" i="108"/>
  <c r="V15" i="108"/>
  <c r="N15" i="108"/>
  <c r="C7" i="108"/>
  <c r="E7" i="108"/>
  <c r="E24" i="108" s="1"/>
  <c r="F7" i="108"/>
  <c r="D7" i="108"/>
  <c r="E8" i="108" l="1"/>
  <c r="C8" i="108"/>
  <c r="C24" i="108"/>
  <c r="F8" i="108"/>
  <c r="F24" i="108"/>
  <c r="D24" i="108"/>
  <c r="D8" i="108"/>
  <c r="E113" i="100" l="1"/>
  <c r="E110" i="100"/>
  <c r="F110" i="100" s="1"/>
  <c r="G110" i="100" s="1"/>
  <c r="H110" i="100" s="1"/>
  <c r="I110" i="100" s="1"/>
  <c r="J110" i="100" s="1"/>
  <c r="K110" i="100" s="1"/>
  <c r="L110" i="100" s="1"/>
  <c r="M110" i="100" s="1"/>
  <c r="N110" i="100" s="1"/>
  <c r="O110" i="100" s="1"/>
  <c r="P110" i="100" s="1"/>
  <c r="Q110" i="100" s="1"/>
  <c r="R110" i="100" s="1"/>
  <c r="S110" i="100" s="1"/>
  <c r="T110" i="100" s="1"/>
  <c r="U110" i="100" s="1"/>
  <c r="V110" i="100" s="1"/>
  <c r="W110" i="100" s="1"/>
  <c r="X110" i="100" s="1"/>
  <c r="E108" i="100"/>
  <c r="CM73" i="88"/>
  <c r="CM74" i="88"/>
  <c r="CM72" i="88"/>
  <c r="CM73" i="72"/>
  <c r="CM74" i="72"/>
  <c r="CM72" i="72"/>
  <c r="G12" i="106"/>
  <c r="G13" i="106"/>
  <c r="G14" i="106"/>
  <c r="G15" i="106"/>
  <c r="G20" i="106"/>
  <c r="G21" i="106"/>
  <c r="G22" i="106"/>
  <c r="G24" i="106"/>
  <c r="G25" i="106"/>
  <c r="G26" i="106"/>
  <c r="G29" i="106"/>
  <c r="G30" i="106"/>
  <c r="G31" i="106"/>
  <c r="G32" i="106"/>
  <c r="G46" i="106"/>
  <c r="G47" i="106"/>
  <c r="G48" i="106"/>
  <c r="G49" i="106"/>
  <c r="W4" i="107"/>
  <c r="W5" i="107"/>
  <c r="W6" i="107"/>
  <c r="W7" i="107"/>
  <c r="W8" i="107"/>
  <c r="W9" i="107"/>
  <c r="W10" i="107"/>
  <c r="W11" i="107"/>
  <c r="W12" i="107"/>
  <c r="W13" i="107"/>
  <c r="W14" i="107"/>
  <c r="W15" i="107"/>
  <c r="W16" i="107"/>
  <c r="W17" i="107"/>
  <c r="W3" i="107"/>
  <c r="Z3" i="107"/>
  <c r="AF13" i="107"/>
  <c r="AF12" i="107"/>
  <c r="AG14" i="107"/>
  <c r="AF14" i="107" s="1"/>
  <c r="Z7" i="107"/>
  <c r="Z8" i="107"/>
  <c r="Z9" i="107"/>
  <c r="Z10" i="107"/>
  <c r="Z11" i="107"/>
  <c r="Z12" i="107"/>
  <c r="Z13" i="107"/>
  <c r="Z14" i="107"/>
  <c r="Z15" i="107"/>
  <c r="Z16" i="107"/>
  <c r="Z17" i="107"/>
  <c r="Z6" i="107"/>
  <c r="Z5" i="107"/>
  <c r="Z4" i="107"/>
  <c r="J3" i="107"/>
  <c r="AF7" i="107"/>
  <c r="AG7" i="107" s="1"/>
  <c r="AG4" i="107"/>
  <c r="AF8" i="107" s="1"/>
  <c r="AG5" i="107"/>
  <c r="AG3" i="107"/>
  <c r="G28" i="106" l="1"/>
  <c r="AG8" i="107"/>
  <c r="AF9" i="107"/>
  <c r="AG9" i="107" s="1"/>
  <c r="D11" i="47" l="1"/>
  <c r="D12" i="47"/>
  <c r="D10" i="47"/>
  <c r="J4" i="107"/>
  <c r="J5" i="107"/>
  <c r="J6" i="107"/>
  <c r="J7" i="107"/>
  <c r="J8" i="107"/>
  <c r="J9" i="107"/>
  <c r="J10" i="107"/>
  <c r="J11" i="107"/>
  <c r="J12" i="107"/>
  <c r="J13" i="107"/>
  <c r="J14" i="107"/>
  <c r="J15" i="107"/>
  <c r="J16" i="107"/>
  <c r="J17" i="107"/>
  <c r="D4" i="47"/>
  <c r="D5" i="47" s="1"/>
  <c r="Q97" i="107"/>
  <c r="O97" i="107"/>
  <c r="S97" i="107" s="1"/>
  <c r="T97" i="107" s="1"/>
  <c r="I97" i="107"/>
  <c r="Y97" i="107" s="1"/>
  <c r="D97" i="107"/>
  <c r="H97" i="107" s="1"/>
  <c r="Q96" i="107"/>
  <c r="O96" i="107"/>
  <c r="S96" i="107" s="1"/>
  <c r="T96" i="107" s="1"/>
  <c r="I96" i="107"/>
  <c r="Y96" i="107" s="1"/>
  <c r="D96" i="107"/>
  <c r="H96" i="107" s="1"/>
  <c r="Q95" i="107"/>
  <c r="O95" i="107"/>
  <c r="S95" i="107" s="1"/>
  <c r="T95" i="107" s="1"/>
  <c r="I95" i="107"/>
  <c r="Y95" i="107" s="1"/>
  <c r="D95" i="107"/>
  <c r="H95" i="107" s="1"/>
  <c r="Q94" i="107"/>
  <c r="O94" i="107"/>
  <c r="S94" i="107" s="1"/>
  <c r="T94" i="107" s="1"/>
  <c r="I94" i="107"/>
  <c r="Y94" i="107" s="1"/>
  <c r="D94" i="107"/>
  <c r="H94" i="107" s="1"/>
  <c r="Q93" i="107"/>
  <c r="O93" i="107"/>
  <c r="S93" i="107" s="1"/>
  <c r="T93" i="107" s="1"/>
  <c r="I93" i="107"/>
  <c r="Y93" i="107" s="1"/>
  <c r="D93" i="107"/>
  <c r="H93" i="107" s="1"/>
  <c r="Q92" i="107"/>
  <c r="O92" i="107"/>
  <c r="S92" i="107" s="1"/>
  <c r="T92" i="107" s="1"/>
  <c r="I92" i="107"/>
  <c r="Y92" i="107" s="1"/>
  <c r="D92" i="107"/>
  <c r="H92" i="107" s="1"/>
  <c r="Q91" i="107"/>
  <c r="O91" i="107"/>
  <c r="S91" i="107" s="1"/>
  <c r="T91" i="107" s="1"/>
  <c r="I91" i="107"/>
  <c r="Y91" i="107" s="1"/>
  <c r="D91" i="107"/>
  <c r="H91" i="107" s="1"/>
  <c r="Q90" i="107"/>
  <c r="O90" i="107"/>
  <c r="S90" i="107" s="1"/>
  <c r="T90" i="107" s="1"/>
  <c r="I90" i="107"/>
  <c r="Y90" i="107" s="1"/>
  <c r="D90" i="107"/>
  <c r="H90" i="107" s="1"/>
  <c r="Q89" i="107"/>
  <c r="O89" i="107"/>
  <c r="S89" i="107" s="1"/>
  <c r="T89" i="107" s="1"/>
  <c r="I89" i="107"/>
  <c r="Y89" i="107" s="1"/>
  <c r="D89" i="107"/>
  <c r="H89" i="107" s="1"/>
  <c r="P89" i="107" s="1"/>
  <c r="Q88" i="107"/>
  <c r="O88" i="107"/>
  <c r="S88" i="107" s="1"/>
  <c r="T88" i="107" s="1"/>
  <c r="I88" i="107"/>
  <c r="Y88" i="107" s="1"/>
  <c r="D88" i="107"/>
  <c r="H88" i="107" s="1"/>
  <c r="Q87" i="107"/>
  <c r="O87" i="107"/>
  <c r="S87" i="107" s="1"/>
  <c r="T87" i="107" s="1"/>
  <c r="I87" i="107"/>
  <c r="Y87" i="107" s="1"/>
  <c r="D87" i="107"/>
  <c r="H87" i="107" s="1"/>
  <c r="Q86" i="107"/>
  <c r="O86" i="107"/>
  <c r="S86" i="107" s="1"/>
  <c r="T86" i="107" s="1"/>
  <c r="I86" i="107"/>
  <c r="Y86" i="107" s="1"/>
  <c r="D86" i="107"/>
  <c r="H86" i="107" s="1"/>
  <c r="Q85" i="107"/>
  <c r="O85" i="107"/>
  <c r="S85" i="107" s="1"/>
  <c r="T85" i="107" s="1"/>
  <c r="I85" i="107"/>
  <c r="Y85" i="107" s="1"/>
  <c r="D85" i="107"/>
  <c r="H85" i="107" s="1"/>
  <c r="S84" i="107"/>
  <c r="T84" i="107" s="1"/>
  <c r="Q84" i="107"/>
  <c r="O84" i="107"/>
  <c r="I84" i="107"/>
  <c r="Y84" i="107" s="1"/>
  <c r="D84" i="107"/>
  <c r="H84" i="107" s="1"/>
  <c r="P84" i="107" s="1"/>
  <c r="Q83" i="107"/>
  <c r="O83" i="107"/>
  <c r="S83" i="107" s="1"/>
  <c r="T83" i="107" s="1"/>
  <c r="I83" i="107"/>
  <c r="Y83" i="107" s="1"/>
  <c r="D83" i="107"/>
  <c r="H83" i="107" s="1"/>
  <c r="Q82" i="107"/>
  <c r="O82" i="107"/>
  <c r="S82" i="107" s="1"/>
  <c r="T82" i="107" s="1"/>
  <c r="I82" i="107"/>
  <c r="Y82" i="107" s="1"/>
  <c r="D82" i="107"/>
  <c r="H82" i="107" s="1"/>
  <c r="Q81" i="107"/>
  <c r="O81" i="107"/>
  <c r="S81" i="107" s="1"/>
  <c r="T81" i="107" s="1"/>
  <c r="I81" i="107"/>
  <c r="Y81" i="107" s="1"/>
  <c r="D81" i="107"/>
  <c r="H81" i="107" s="1"/>
  <c r="Q80" i="107"/>
  <c r="O80" i="107"/>
  <c r="S80" i="107" s="1"/>
  <c r="T80" i="107" s="1"/>
  <c r="I80" i="107"/>
  <c r="Y80" i="107" s="1"/>
  <c r="D80" i="107"/>
  <c r="H80" i="107" s="1"/>
  <c r="Q79" i="107"/>
  <c r="O79" i="107"/>
  <c r="S79" i="107" s="1"/>
  <c r="T79" i="107" s="1"/>
  <c r="I79" i="107"/>
  <c r="Y79" i="107" s="1"/>
  <c r="D79" i="107"/>
  <c r="H79" i="107" s="1"/>
  <c r="Q78" i="107"/>
  <c r="O78" i="107"/>
  <c r="S78" i="107" s="1"/>
  <c r="T78" i="107" s="1"/>
  <c r="I78" i="107"/>
  <c r="Y78" i="107" s="1"/>
  <c r="D78" i="107"/>
  <c r="H78" i="107" s="1"/>
  <c r="Q77" i="107"/>
  <c r="O77" i="107"/>
  <c r="S77" i="107" s="1"/>
  <c r="T77" i="107" s="1"/>
  <c r="I77" i="107"/>
  <c r="Y77" i="107" s="1"/>
  <c r="D77" i="107"/>
  <c r="H77" i="107" s="1"/>
  <c r="P77" i="107" s="1"/>
  <c r="Q76" i="107"/>
  <c r="O76" i="107"/>
  <c r="S76" i="107" s="1"/>
  <c r="T76" i="107" s="1"/>
  <c r="I76" i="107"/>
  <c r="Y76" i="107" s="1"/>
  <c r="D76" i="107"/>
  <c r="H76" i="107" s="1"/>
  <c r="Q75" i="107"/>
  <c r="O75" i="107"/>
  <c r="S75" i="107" s="1"/>
  <c r="T75" i="107" s="1"/>
  <c r="I75" i="107"/>
  <c r="Y75" i="107" s="1"/>
  <c r="D75" i="107"/>
  <c r="H75" i="107" s="1"/>
  <c r="Q74" i="107"/>
  <c r="O74" i="107"/>
  <c r="S74" i="107" s="1"/>
  <c r="T74" i="107" s="1"/>
  <c r="I74" i="107"/>
  <c r="Y74" i="107" s="1"/>
  <c r="D74" i="107"/>
  <c r="H74" i="107" s="1"/>
  <c r="Q73" i="107"/>
  <c r="O73" i="107"/>
  <c r="S73" i="107" s="1"/>
  <c r="T73" i="107" s="1"/>
  <c r="I73" i="107"/>
  <c r="Y73" i="107" s="1"/>
  <c r="D73" i="107"/>
  <c r="H73" i="107" s="1"/>
  <c r="Q72" i="107"/>
  <c r="O72" i="107"/>
  <c r="S72" i="107" s="1"/>
  <c r="T72" i="107" s="1"/>
  <c r="I72" i="107"/>
  <c r="Y72" i="107" s="1"/>
  <c r="D72" i="107"/>
  <c r="H72" i="107" s="1"/>
  <c r="Q71" i="107"/>
  <c r="O71" i="107"/>
  <c r="S71" i="107" s="1"/>
  <c r="T71" i="107" s="1"/>
  <c r="U71" i="107" s="1"/>
  <c r="I71" i="107"/>
  <c r="Y71" i="107" s="1"/>
  <c r="D71" i="107"/>
  <c r="H71" i="107" s="1"/>
  <c r="Q70" i="107"/>
  <c r="O70" i="107"/>
  <c r="S70" i="107" s="1"/>
  <c r="T70" i="107" s="1"/>
  <c r="U70" i="107" s="1"/>
  <c r="I70" i="107"/>
  <c r="Y70" i="107" s="1"/>
  <c r="D70" i="107"/>
  <c r="H70" i="107" s="1"/>
  <c r="Q69" i="107"/>
  <c r="O69" i="107"/>
  <c r="S69" i="107" s="1"/>
  <c r="T69" i="107" s="1"/>
  <c r="U69" i="107" s="1"/>
  <c r="I69" i="107"/>
  <c r="Y69" i="107" s="1"/>
  <c r="D69" i="107"/>
  <c r="H69" i="107" s="1"/>
  <c r="Q68" i="107"/>
  <c r="O68" i="107"/>
  <c r="S68" i="107" s="1"/>
  <c r="T68" i="107" s="1"/>
  <c r="U68" i="107" s="1"/>
  <c r="I68" i="107"/>
  <c r="Y68" i="107" s="1"/>
  <c r="D68" i="107"/>
  <c r="H68" i="107" s="1"/>
  <c r="Q67" i="107"/>
  <c r="O67" i="107"/>
  <c r="S67" i="107" s="1"/>
  <c r="T67" i="107" s="1"/>
  <c r="I67" i="107"/>
  <c r="Y67" i="107" s="1"/>
  <c r="D67" i="107"/>
  <c r="H67" i="107" s="1"/>
  <c r="Q66" i="107"/>
  <c r="O66" i="107"/>
  <c r="S66" i="107" s="1"/>
  <c r="T66" i="107" s="1"/>
  <c r="I66" i="107"/>
  <c r="Y66" i="107" s="1"/>
  <c r="D66" i="107"/>
  <c r="H66" i="107" s="1"/>
  <c r="Q65" i="107"/>
  <c r="O65" i="107"/>
  <c r="S65" i="107" s="1"/>
  <c r="T65" i="107" s="1"/>
  <c r="U65" i="107" s="1"/>
  <c r="I65" i="107"/>
  <c r="Y65" i="107" s="1"/>
  <c r="D65" i="107"/>
  <c r="H65" i="107" s="1"/>
  <c r="Q64" i="107"/>
  <c r="O64" i="107"/>
  <c r="S64" i="107" s="1"/>
  <c r="T64" i="107" s="1"/>
  <c r="U64" i="107" s="1"/>
  <c r="I64" i="107"/>
  <c r="Y64" i="107" s="1"/>
  <c r="D64" i="107"/>
  <c r="H64" i="107" s="1"/>
  <c r="Q63" i="107"/>
  <c r="O63" i="107"/>
  <c r="S63" i="107" s="1"/>
  <c r="T63" i="107" s="1"/>
  <c r="U63" i="107" s="1"/>
  <c r="I63" i="107"/>
  <c r="Y63" i="107" s="1"/>
  <c r="D63" i="107"/>
  <c r="H63" i="107" s="1"/>
  <c r="Q62" i="107"/>
  <c r="O62" i="107"/>
  <c r="S62" i="107" s="1"/>
  <c r="T62" i="107" s="1"/>
  <c r="I62" i="107"/>
  <c r="Y62" i="107" s="1"/>
  <c r="D62" i="107"/>
  <c r="H62" i="107" s="1"/>
  <c r="Q61" i="107"/>
  <c r="O61" i="107"/>
  <c r="S61" i="107" s="1"/>
  <c r="T61" i="107" s="1"/>
  <c r="U61" i="107" s="1"/>
  <c r="I61" i="107"/>
  <c r="Y61" i="107" s="1"/>
  <c r="D61" i="107"/>
  <c r="H61" i="107" s="1"/>
  <c r="Q60" i="107"/>
  <c r="O60" i="107"/>
  <c r="S60" i="107" s="1"/>
  <c r="T60" i="107" s="1"/>
  <c r="U60" i="107" s="1"/>
  <c r="I60" i="107"/>
  <c r="Y60" i="107" s="1"/>
  <c r="D60" i="107"/>
  <c r="H60" i="107" s="1"/>
  <c r="Q59" i="107"/>
  <c r="O59" i="107"/>
  <c r="S59" i="107" s="1"/>
  <c r="T59" i="107" s="1"/>
  <c r="I59" i="107"/>
  <c r="Y59" i="107" s="1"/>
  <c r="D59" i="107"/>
  <c r="H59" i="107" s="1"/>
  <c r="Q58" i="107"/>
  <c r="O58" i="107"/>
  <c r="S58" i="107" s="1"/>
  <c r="T58" i="107" s="1"/>
  <c r="I58" i="107"/>
  <c r="Y58" i="107" s="1"/>
  <c r="D58" i="107"/>
  <c r="H58" i="107" s="1"/>
  <c r="Q57" i="107"/>
  <c r="O57" i="107"/>
  <c r="S57" i="107" s="1"/>
  <c r="T57" i="107" s="1"/>
  <c r="I57" i="107"/>
  <c r="Y57" i="107" s="1"/>
  <c r="D57" i="107"/>
  <c r="H57" i="107" s="1"/>
  <c r="Q56" i="107"/>
  <c r="O56" i="107"/>
  <c r="S56" i="107" s="1"/>
  <c r="T56" i="107" s="1"/>
  <c r="U56" i="107" s="1"/>
  <c r="I56" i="107"/>
  <c r="Y56" i="107" s="1"/>
  <c r="D56" i="107"/>
  <c r="H56" i="107" s="1"/>
  <c r="Q55" i="107"/>
  <c r="O55" i="107"/>
  <c r="S55" i="107" s="1"/>
  <c r="T55" i="107" s="1"/>
  <c r="I55" i="107"/>
  <c r="Y55" i="107" s="1"/>
  <c r="D55" i="107"/>
  <c r="H55" i="107" s="1"/>
  <c r="Q54" i="107"/>
  <c r="O54" i="107"/>
  <c r="S54" i="107" s="1"/>
  <c r="T54" i="107" s="1"/>
  <c r="I54" i="107"/>
  <c r="Y54" i="107" s="1"/>
  <c r="D54" i="107"/>
  <c r="H54" i="107" s="1"/>
  <c r="Q53" i="107"/>
  <c r="O53" i="107"/>
  <c r="S53" i="107" s="1"/>
  <c r="T53" i="107" s="1"/>
  <c r="I53" i="107"/>
  <c r="Y53" i="107" s="1"/>
  <c r="D53" i="107"/>
  <c r="H53" i="107" s="1"/>
  <c r="Q52" i="107"/>
  <c r="O52" i="107"/>
  <c r="S52" i="107" s="1"/>
  <c r="T52" i="107" s="1"/>
  <c r="U52" i="107" s="1"/>
  <c r="I52" i="107"/>
  <c r="Y52" i="107" s="1"/>
  <c r="D52" i="107"/>
  <c r="H52" i="107" s="1"/>
  <c r="Q51" i="107"/>
  <c r="O51" i="107"/>
  <c r="S51" i="107" s="1"/>
  <c r="T51" i="107" s="1"/>
  <c r="I51" i="107"/>
  <c r="Y51" i="107" s="1"/>
  <c r="D51" i="107"/>
  <c r="H51" i="107" s="1"/>
  <c r="Q50" i="107"/>
  <c r="O50" i="107"/>
  <c r="S50" i="107" s="1"/>
  <c r="T50" i="107" s="1"/>
  <c r="I50" i="107"/>
  <c r="Y50" i="107" s="1"/>
  <c r="D50" i="107"/>
  <c r="H50" i="107" s="1"/>
  <c r="Q49" i="107"/>
  <c r="O49" i="107"/>
  <c r="S49" i="107" s="1"/>
  <c r="T49" i="107" s="1"/>
  <c r="I49" i="107"/>
  <c r="Y49" i="107" s="1"/>
  <c r="D49" i="107"/>
  <c r="H49" i="107" s="1"/>
  <c r="Q48" i="107"/>
  <c r="O48" i="107"/>
  <c r="S48" i="107" s="1"/>
  <c r="T48" i="107" s="1"/>
  <c r="U48" i="107" s="1"/>
  <c r="I48" i="107"/>
  <c r="Y48" i="107" s="1"/>
  <c r="D48" i="107"/>
  <c r="H48" i="107" s="1"/>
  <c r="Q47" i="107"/>
  <c r="O47" i="107"/>
  <c r="S47" i="107" s="1"/>
  <c r="T47" i="107" s="1"/>
  <c r="I47" i="107"/>
  <c r="Y47" i="107" s="1"/>
  <c r="D47" i="107"/>
  <c r="H47" i="107" s="1"/>
  <c r="S46" i="107"/>
  <c r="T46" i="107" s="1"/>
  <c r="Q46" i="107"/>
  <c r="O46" i="107"/>
  <c r="I46" i="107"/>
  <c r="Y46" i="107" s="1"/>
  <c r="D46" i="107"/>
  <c r="H46" i="107" s="1"/>
  <c r="Q45" i="107"/>
  <c r="O45" i="107"/>
  <c r="S45" i="107" s="1"/>
  <c r="T45" i="107" s="1"/>
  <c r="I45" i="107"/>
  <c r="Y45" i="107" s="1"/>
  <c r="D45" i="107"/>
  <c r="H45" i="107" s="1"/>
  <c r="Q44" i="107"/>
  <c r="O44" i="107"/>
  <c r="S44" i="107" s="1"/>
  <c r="T44" i="107" s="1"/>
  <c r="U44" i="107" s="1"/>
  <c r="I44" i="107"/>
  <c r="Y44" i="107" s="1"/>
  <c r="D44" i="107"/>
  <c r="H44" i="107" s="1"/>
  <c r="Q43" i="107"/>
  <c r="O43" i="107"/>
  <c r="S43" i="107" s="1"/>
  <c r="T43" i="107" s="1"/>
  <c r="I43" i="107"/>
  <c r="Y43" i="107" s="1"/>
  <c r="D43" i="107"/>
  <c r="H43" i="107" s="1"/>
  <c r="Q42" i="107"/>
  <c r="O42" i="107"/>
  <c r="S42" i="107" s="1"/>
  <c r="T42" i="107" s="1"/>
  <c r="I42" i="107"/>
  <c r="Y42" i="107" s="1"/>
  <c r="H42" i="107"/>
  <c r="D42" i="107"/>
  <c r="Q41" i="107"/>
  <c r="O41" i="107"/>
  <c r="S41" i="107" s="1"/>
  <c r="T41" i="107" s="1"/>
  <c r="I41" i="107"/>
  <c r="Y41" i="107" s="1"/>
  <c r="D41" i="107"/>
  <c r="H41" i="107" s="1"/>
  <c r="Q40" i="107"/>
  <c r="O40" i="107"/>
  <c r="S40" i="107" s="1"/>
  <c r="T40" i="107" s="1"/>
  <c r="I40" i="107"/>
  <c r="Y40" i="107" s="1"/>
  <c r="D40" i="107"/>
  <c r="H40" i="107" s="1"/>
  <c r="Q39" i="107"/>
  <c r="O39" i="107"/>
  <c r="S39" i="107" s="1"/>
  <c r="T39" i="107" s="1"/>
  <c r="I39" i="107"/>
  <c r="Y39" i="107" s="1"/>
  <c r="D39" i="107"/>
  <c r="H39" i="107" s="1"/>
  <c r="Q38" i="107"/>
  <c r="O38" i="107"/>
  <c r="S38" i="107" s="1"/>
  <c r="T38" i="107" s="1"/>
  <c r="I38" i="107"/>
  <c r="Y38" i="107" s="1"/>
  <c r="D38" i="107"/>
  <c r="H38" i="107" s="1"/>
  <c r="Q37" i="107"/>
  <c r="O37" i="107"/>
  <c r="S37" i="107" s="1"/>
  <c r="T37" i="107" s="1"/>
  <c r="I37" i="107"/>
  <c r="Y37" i="107" s="1"/>
  <c r="D37" i="107"/>
  <c r="H37" i="107" s="1"/>
  <c r="Q36" i="107"/>
  <c r="O36" i="107"/>
  <c r="S36" i="107" s="1"/>
  <c r="T36" i="107" s="1"/>
  <c r="I36" i="107"/>
  <c r="Y36" i="107" s="1"/>
  <c r="D36" i="107"/>
  <c r="H36" i="107" s="1"/>
  <c r="Q35" i="107"/>
  <c r="O35" i="107"/>
  <c r="S35" i="107" s="1"/>
  <c r="T35" i="107" s="1"/>
  <c r="I35" i="107"/>
  <c r="Y35" i="107" s="1"/>
  <c r="D35" i="107"/>
  <c r="H35" i="107" s="1"/>
  <c r="Q34" i="107"/>
  <c r="O34" i="107"/>
  <c r="S34" i="107" s="1"/>
  <c r="T34" i="107" s="1"/>
  <c r="I34" i="107"/>
  <c r="Y34" i="107" s="1"/>
  <c r="H34" i="107"/>
  <c r="D34" i="107"/>
  <c r="Q33" i="107"/>
  <c r="O33" i="107"/>
  <c r="S33" i="107" s="1"/>
  <c r="T33" i="107" s="1"/>
  <c r="I33" i="107"/>
  <c r="Y33" i="107" s="1"/>
  <c r="D33" i="107"/>
  <c r="H33" i="107" s="1"/>
  <c r="Q32" i="107"/>
  <c r="O32" i="107"/>
  <c r="S32" i="107" s="1"/>
  <c r="T32" i="107" s="1"/>
  <c r="I32" i="107"/>
  <c r="Y32" i="107" s="1"/>
  <c r="D32" i="107"/>
  <c r="H32" i="107" s="1"/>
  <c r="Q31" i="107"/>
  <c r="O31" i="107"/>
  <c r="S31" i="107" s="1"/>
  <c r="T31" i="107" s="1"/>
  <c r="I31" i="107"/>
  <c r="Y31" i="107" s="1"/>
  <c r="H31" i="107"/>
  <c r="D31" i="107"/>
  <c r="Q30" i="107"/>
  <c r="O30" i="107"/>
  <c r="S30" i="107" s="1"/>
  <c r="T30" i="107" s="1"/>
  <c r="I30" i="107"/>
  <c r="Y30" i="107" s="1"/>
  <c r="D30" i="107"/>
  <c r="H30" i="107" s="1"/>
  <c r="Q29" i="107"/>
  <c r="O29" i="107"/>
  <c r="S29" i="107" s="1"/>
  <c r="T29" i="107" s="1"/>
  <c r="I29" i="107"/>
  <c r="Y29" i="107" s="1"/>
  <c r="D29" i="107"/>
  <c r="H29" i="107" s="1"/>
  <c r="Q28" i="107"/>
  <c r="O28" i="107"/>
  <c r="S28" i="107" s="1"/>
  <c r="T28" i="107" s="1"/>
  <c r="I28" i="107"/>
  <c r="Y28" i="107" s="1"/>
  <c r="D28" i="107"/>
  <c r="H28" i="107" s="1"/>
  <c r="Q27" i="107"/>
  <c r="O27" i="107"/>
  <c r="S27" i="107" s="1"/>
  <c r="T27" i="107" s="1"/>
  <c r="I27" i="107"/>
  <c r="Y27" i="107" s="1"/>
  <c r="D27" i="107"/>
  <c r="H27" i="107" s="1"/>
  <c r="Q26" i="107"/>
  <c r="O26" i="107"/>
  <c r="S26" i="107" s="1"/>
  <c r="T26" i="107" s="1"/>
  <c r="I26" i="107"/>
  <c r="Y26" i="107" s="1"/>
  <c r="D26" i="107"/>
  <c r="H26" i="107" s="1"/>
  <c r="Q25" i="107"/>
  <c r="O25" i="107"/>
  <c r="S25" i="107" s="1"/>
  <c r="T25" i="107" s="1"/>
  <c r="I25" i="107"/>
  <c r="Y25" i="107" s="1"/>
  <c r="D25" i="107"/>
  <c r="H25" i="107" s="1"/>
  <c r="Q24" i="107"/>
  <c r="O24" i="107"/>
  <c r="S24" i="107" s="1"/>
  <c r="T24" i="107" s="1"/>
  <c r="I24" i="107"/>
  <c r="Y24" i="107" s="1"/>
  <c r="D24" i="107"/>
  <c r="H24" i="107" s="1"/>
  <c r="Q23" i="107"/>
  <c r="O23" i="107"/>
  <c r="S23" i="107" s="1"/>
  <c r="T23" i="107" s="1"/>
  <c r="I23" i="107"/>
  <c r="Y23" i="107" s="1"/>
  <c r="H23" i="107"/>
  <c r="D23" i="107"/>
  <c r="Q22" i="107"/>
  <c r="O22" i="107"/>
  <c r="S22" i="107" s="1"/>
  <c r="T22" i="107" s="1"/>
  <c r="I22" i="107"/>
  <c r="Y22" i="107" s="1"/>
  <c r="D22" i="107"/>
  <c r="H22" i="107" s="1"/>
  <c r="Q21" i="107"/>
  <c r="O21" i="107"/>
  <c r="S21" i="107" s="1"/>
  <c r="T21" i="107" s="1"/>
  <c r="I21" i="107"/>
  <c r="Y21" i="107" s="1"/>
  <c r="D21" i="107"/>
  <c r="H21" i="107" s="1"/>
  <c r="Q20" i="107"/>
  <c r="O20" i="107"/>
  <c r="S20" i="107" s="1"/>
  <c r="T20" i="107" s="1"/>
  <c r="I20" i="107"/>
  <c r="Y20" i="107" s="1"/>
  <c r="D20" i="107"/>
  <c r="H20" i="107" s="1"/>
  <c r="Q19" i="107"/>
  <c r="O19" i="107"/>
  <c r="S19" i="107" s="1"/>
  <c r="T19" i="107" s="1"/>
  <c r="I19" i="107"/>
  <c r="Y19" i="107" s="1"/>
  <c r="D19" i="107"/>
  <c r="H19" i="107" s="1"/>
  <c r="Q18" i="107"/>
  <c r="O18" i="107"/>
  <c r="S18" i="107" s="1"/>
  <c r="T18" i="107" s="1"/>
  <c r="I18" i="107"/>
  <c r="Y18" i="107" s="1"/>
  <c r="D18" i="107"/>
  <c r="H18" i="107" s="1"/>
  <c r="Q17" i="107"/>
  <c r="R17" i="107" s="1"/>
  <c r="P17" i="107"/>
  <c r="O17" i="107"/>
  <c r="S17" i="107" s="1"/>
  <c r="T17" i="107" s="1"/>
  <c r="K17" i="107"/>
  <c r="I17" i="107"/>
  <c r="Y17" i="107" s="1"/>
  <c r="Q16" i="107"/>
  <c r="R16" i="107" s="1"/>
  <c r="P16" i="107"/>
  <c r="O16" i="107"/>
  <c r="S16" i="107" s="1"/>
  <c r="T16" i="107" s="1"/>
  <c r="U16" i="107" s="1"/>
  <c r="K16" i="107"/>
  <c r="I16" i="107"/>
  <c r="Y16" i="107" s="1"/>
  <c r="Q15" i="107"/>
  <c r="R15" i="107" s="1"/>
  <c r="P15" i="107"/>
  <c r="O15" i="107"/>
  <c r="S15" i="107" s="1"/>
  <c r="T15" i="107" s="1"/>
  <c r="U15" i="107" s="1"/>
  <c r="K15" i="107"/>
  <c r="I15" i="107"/>
  <c r="Y15" i="107" s="1"/>
  <c r="Q14" i="107"/>
  <c r="R14" i="107" s="1"/>
  <c r="P14" i="107"/>
  <c r="O14" i="107"/>
  <c r="S14" i="107" s="1"/>
  <c r="T14" i="107" s="1"/>
  <c r="I14" i="107"/>
  <c r="Y14" i="107" s="1"/>
  <c r="K14" i="107"/>
  <c r="Q13" i="107"/>
  <c r="R13" i="107" s="1"/>
  <c r="P13" i="107"/>
  <c r="O13" i="107"/>
  <c r="S13" i="107" s="1"/>
  <c r="T13" i="107" s="1"/>
  <c r="K13" i="107"/>
  <c r="I13" i="107"/>
  <c r="Y13" i="107" s="1"/>
  <c r="Q12" i="107"/>
  <c r="R12" i="107" s="1"/>
  <c r="P12" i="107"/>
  <c r="O12" i="107"/>
  <c r="S12" i="107" s="1"/>
  <c r="T12" i="107" s="1"/>
  <c r="U12" i="107" s="1"/>
  <c r="K12" i="107"/>
  <c r="I12" i="107"/>
  <c r="Y12" i="107" s="1"/>
  <c r="Q11" i="107"/>
  <c r="R11" i="107" s="1"/>
  <c r="P11" i="107"/>
  <c r="O11" i="107"/>
  <c r="S11" i="107" s="1"/>
  <c r="T11" i="107" s="1"/>
  <c r="U11" i="107" s="1"/>
  <c r="K11" i="107"/>
  <c r="I11" i="107"/>
  <c r="Y11" i="107" s="1"/>
  <c r="Q10" i="107"/>
  <c r="R10" i="107" s="1"/>
  <c r="P10" i="107"/>
  <c r="O10" i="107"/>
  <c r="S10" i="107" s="1"/>
  <c r="T10" i="107" s="1"/>
  <c r="I10" i="107"/>
  <c r="Y10" i="107" s="1"/>
  <c r="K10" i="107"/>
  <c r="Q9" i="107"/>
  <c r="R9" i="107" s="1"/>
  <c r="P9" i="107"/>
  <c r="O9" i="107"/>
  <c r="S9" i="107" s="1"/>
  <c r="T9" i="107" s="1"/>
  <c r="K9" i="107"/>
  <c r="I9" i="107"/>
  <c r="Y9" i="107" s="1"/>
  <c r="Q8" i="107"/>
  <c r="R8" i="107" s="1"/>
  <c r="P8" i="107"/>
  <c r="O8" i="107"/>
  <c r="S8" i="107" s="1"/>
  <c r="T8" i="107" s="1"/>
  <c r="K8" i="107"/>
  <c r="I8" i="107"/>
  <c r="Y8" i="107" s="1"/>
  <c r="Q7" i="107"/>
  <c r="R7" i="107" s="1"/>
  <c r="P7" i="107"/>
  <c r="O7" i="107"/>
  <c r="S7" i="107" s="1"/>
  <c r="T7" i="107" s="1"/>
  <c r="U7" i="107" s="1"/>
  <c r="K7" i="107"/>
  <c r="I7" i="107"/>
  <c r="Y7" i="107" s="1"/>
  <c r="Q6" i="107"/>
  <c r="R6" i="107" s="1"/>
  <c r="P6" i="107"/>
  <c r="O6" i="107"/>
  <c r="S6" i="107" s="1"/>
  <c r="T6" i="107" s="1"/>
  <c r="I6" i="107"/>
  <c r="Y6" i="107" s="1"/>
  <c r="K6" i="107"/>
  <c r="Q5" i="107"/>
  <c r="R5" i="107" s="1"/>
  <c r="P5" i="107"/>
  <c r="O5" i="107"/>
  <c r="S5" i="107" s="1"/>
  <c r="T5" i="107" s="1"/>
  <c r="K5" i="107"/>
  <c r="I5" i="107"/>
  <c r="Y5" i="107" s="1"/>
  <c r="Q4" i="107"/>
  <c r="R4" i="107" s="1"/>
  <c r="P4" i="107"/>
  <c r="O4" i="107"/>
  <c r="S4" i="107" s="1"/>
  <c r="T4" i="107" s="1"/>
  <c r="U4" i="107" s="1"/>
  <c r="K4" i="107"/>
  <c r="I4" i="107"/>
  <c r="Y4" i="107" s="1"/>
  <c r="Q3" i="107"/>
  <c r="R3" i="107" s="1"/>
  <c r="P3" i="107"/>
  <c r="O3" i="107"/>
  <c r="S3" i="107" s="1"/>
  <c r="T3" i="107" s="1"/>
  <c r="K3" i="107"/>
  <c r="I3" i="107"/>
  <c r="Y3" i="107" s="1"/>
  <c r="R47" i="107" l="1"/>
  <c r="X14" i="107"/>
  <c r="X17" i="107"/>
  <c r="U3" i="107"/>
  <c r="V3" i="107" s="1"/>
  <c r="J28" i="107"/>
  <c r="Z28" i="107"/>
  <c r="W28" i="107"/>
  <c r="J37" i="107"/>
  <c r="Z37" i="107"/>
  <c r="W37" i="107"/>
  <c r="W56" i="107"/>
  <c r="Z56" i="107"/>
  <c r="P66" i="107"/>
  <c r="W66" i="107"/>
  <c r="Z66" i="107"/>
  <c r="J69" i="107"/>
  <c r="Z69" i="107"/>
  <c r="W69" i="107"/>
  <c r="J93" i="107"/>
  <c r="Z93" i="107"/>
  <c r="W93" i="107"/>
  <c r="X6" i="107"/>
  <c r="X12" i="107"/>
  <c r="J22" i="107"/>
  <c r="W22" i="107"/>
  <c r="Z22" i="107"/>
  <c r="J30" i="107"/>
  <c r="W30" i="107"/>
  <c r="Z30" i="107"/>
  <c r="J38" i="107"/>
  <c r="W38" i="107"/>
  <c r="Z38" i="107"/>
  <c r="W47" i="107"/>
  <c r="Z47" i="107"/>
  <c r="Z48" i="107"/>
  <c r="W48" i="107"/>
  <c r="Z57" i="107"/>
  <c r="W57" i="107"/>
  <c r="W58" i="107"/>
  <c r="Z58" i="107"/>
  <c r="J70" i="107"/>
  <c r="W70" i="107"/>
  <c r="Z70" i="107"/>
  <c r="J77" i="107"/>
  <c r="Z77" i="107"/>
  <c r="W77" i="107"/>
  <c r="J85" i="107"/>
  <c r="Z85" i="107"/>
  <c r="W85" i="107"/>
  <c r="P86" i="107"/>
  <c r="Z86" i="107"/>
  <c r="W86" i="107"/>
  <c r="J87" i="107"/>
  <c r="W87" i="107"/>
  <c r="Z87" i="107"/>
  <c r="J95" i="107"/>
  <c r="W95" i="107"/>
  <c r="Z95" i="107"/>
  <c r="J96" i="107"/>
  <c r="Z96" i="107"/>
  <c r="W96" i="107"/>
  <c r="J97" i="107"/>
  <c r="Z97" i="107"/>
  <c r="W97" i="107"/>
  <c r="J20" i="107"/>
  <c r="Z20" i="107"/>
  <c r="W20" i="107"/>
  <c r="J27" i="107"/>
  <c r="W27" i="107"/>
  <c r="Z27" i="107"/>
  <c r="W35" i="107"/>
  <c r="Z35" i="107"/>
  <c r="Z45" i="107"/>
  <c r="W45" i="107"/>
  <c r="W55" i="107"/>
  <c r="Z55" i="107"/>
  <c r="P67" i="107"/>
  <c r="W67" i="107"/>
  <c r="Z67" i="107"/>
  <c r="J76" i="107"/>
  <c r="Z76" i="107"/>
  <c r="W76" i="107"/>
  <c r="P92" i="107"/>
  <c r="Z92" i="107"/>
  <c r="W92" i="107"/>
  <c r="X4" i="107"/>
  <c r="X10" i="107"/>
  <c r="W18" i="107"/>
  <c r="Z18" i="107"/>
  <c r="W23" i="107"/>
  <c r="Z23" i="107"/>
  <c r="W24" i="107"/>
  <c r="Z24" i="107"/>
  <c r="J25" i="107"/>
  <c r="Z25" i="107"/>
  <c r="W25" i="107"/>
  <c r="J31" i="107"/>
  <c r="W31" i="107"/>
  <c r="Z31" i="107"/>
  <c r="J32" i="107"/>
  <c r="W32" i="107"/>
  <c r="Z32" i="107"/>
  <c r="J33" i="107"/>
  <c r="Z33" i="107"/>
  <c r="W33" i="107"/>
  <c r="J39" i="107"/>
  <c r="W39" i="107"/>
  <c r="Z39" i="107"/>
  <c r="J40" i="107"/>
  <c r="W40" i="107"/>
  <c r="Z40" i="107"/>
  <c r="J41" i="107"/>
  <c r="Z41" i="107"/>
  <c r="W41" i="107"/>
  <c r="Z49" i="107"/>
  <c r="W49" i="107"/>
  <c r="W50" i="107"/>
  <c r="Z50" i="107"/>
  <c r="W59" i="107"/>
  <c r="Z59" i="107"/>
  <c r="P60" i="107"/>
  <c r="Z60" i="107"/>
  <c r="W60" i="107"/>
  <c r="J61" i="107"/>
  <c r="Z61" i="107"/>
  <c r="W61" i="107"/>
  <c r="J71" i="107"/>
  <c r="W71" i="107"/>
  <c r="Z71" i="107"/>
  <c r="J78" i="107"/>
  <c r="W78" i="107"/>
  <c r="Z78" i="107"/>
  <c r="J79" i="107"/>
  <c r="W79" i="107"/>
  <c r="Z79" i="107"/>
  <c r="J80" i="107"/>
  <c r="W80" i="107"/>
  <c r="Z80" i="107"/>
  <c r="J88" i="107"/>
  <c r="W88" i="107"/>
  <c r="Z88" i="107"/>
  <c r="J89" i="107"/>
  <c r="Z89" i="107"/>
  <c r="W89" i="107"/>
  <c r="J21" i="107"/>
  <c r="Z21" i="107"/>
  <c r="W21" i="107"/>
  <c r="J29" i="107"/>
  <c r="Z29" i="107"/>
  <c r="W29" i="107"/>
  <c r="Z36" i="107"/>
  <c r="W36" i="107"/>
  <c r="W46" i="107"/>
  <c r="Z46" i="107"/>
  <c r="J65" i="107"/>
  <c r="Z65" i="107"/>
  <c r="W65" i="107"/>
  <c r="P68" i="107"/>
  <c r="Z68" i="107"/>
  <c r="W68" i="107"/>
  <c r="J94" i="107"/>
  <c r="Z94" i="107"/>
  <c r="W94" i="107"/>
  <c r="X8" i="107"/>
  <c r="X16" i="107"/>
  <c r="J19" i="107"/>
  <c r="W19" i="107"/>
  <c r="Z19" i="107"/>
  <c r="J26" i="107"/>
  <c r="W26" i="107"/>
  <c r="Z26" i="107"/>
  <c r="Z34" i="107"/>
  <c r="W34" i="107"/>
  <c r="J42" i="107"/>
  <c r="W42" i="107"/>
  <c r="Z42" i="107"/>
  <c r="W43" i="107"/>
  <c r="Z43" i="107"/>
  <c r="W44" i="107"/>
  <c r="Z44" i="107"/>
  <c r="R45" i="107"/>
  <c r="W51" i="107"/>
  <c r="Z51" i="107"/>
  <c r="W52" i="107"/>
  <c r="Z52" i="107"/>
  <c r="Z53" i="107"/>
  <c r="W53" i="107"/>
  <c r="W54" i="107"/>
  <c r="Z54" i="107"/>
  <c r="P62" i="107"/>
  <c r="Z62" i="107"/>
  <c r="W62" i="107"/>
  <c r="P63" i="107"/>
  <c r="W63" i="107"/>
  <c r="Z63" i="107"/>
  <c r="W64" i="107"/>
  <c r="Z64" i="107"/>
  <c r="R65" i="107"/>
  <c r="J72" i="107"/>
  <c r="W72" i="107"/>
  <c r="Z72" i="107"/>
  <c r="J73" i="107"/>
  <c r="Z73" i="107"/>
  <c r="W73" i="107"/>
  <c r="J74" i="107"/>
  <c r="Z74" i="107"/>
  <c r="W74" i="107"/>
  <c r="J75" i="107"/>
  <c r="W75" i="107"/>
  <c r="Z75" i="107"/>
  <c r="Z81" i="107"/>
  <c r="W81" i="107"/>
  <c r="J82" i="107"/>
  <c r="W82" i="107"/>
  <c r="Z82" i="107"/>
  <c r="J83" i="107"/>
  <c r="W83" i="107"/>
  <c r="Z83" i="107"/>
  <c r="J84" i="107"/>
  <c r="Z84" i="107"/>
  <c r="W84" i="107"/>
  <c r="J90" i="107"/>
  <c r="W90" i="107"/>
  <c r="Z90" i="107"/>
  <c r="J91" i="107"/>
  <c r="W91" i="107"/>
  <c r="Z91" i="107"/>
  <c r="P36" i="107"/>
  <c r="J36" i="107"/>
  <c r="J18" i="107"/>
  <c r="P18" i="107"/>
  <c r="P24" i="107"/>
  <c r="J24" i="107"/>
  <c r="P48" i="107"/>
  <c r="J48" i="107"/>
  <c r="P55" i="107"/>
  <c r="J55" i="107"/>
  <c r="X9" i="107"/>
  <c r="X11" i="107"/>
  <c r="X13" i="107"/>
  <c r="X15" i="107"/>
  <c r="R22" i="107"/>
  <c r="R26" i="107"/>
  <c r="R30" i="107"/>
  <c r="R34" i="107"/>
  <c r="R38" i="107"/>
  <c r="R42" i="107"/>
  <c r="P47" i="107"/>
  <c r="X47" i="107" s="1"/>
  <c r="J47" i="107"/>
  <c r="P51" i="107"/>
  <c r="J51" i="107"/>
  <c r="P52" i="107"/>
  <c r="J52" i="107"/>
  <c r="R53" i="107"/>
  <c r="P57" i="107"/>
  <c r="J57" i="107"/>
  <c r="P58" i="107"/>
  <c r="J58" i="107"/>
  <c r="P23" i="107"/>
  <c r="J23" i="107"/>
  <c r="P35" i="107"/>
  <c r="J35" i="107"/>
  <c r="X3" i="107"/>
  <c r="X5" i="107"/>
  <c r="X7" i="107"/>
  <c r="R23" i="107"/>
  <c r="R27" i="107"/>
  <c r="R31" i="107"/>
  <c r="P34" i="107"/>
  <c r="X34" i="107" s="1"/>
  <c r="J34" i="107"/>
  <c r="R35" i="107"/>
  <c r="R39" i="107"/>
  <c r="P43" i="107"/>
  <c r="J43" i="107"/>
  <c r="R48" i="107"/>
  <c r="V48" i="107" s="1"/>
  <c r="P53" i="107"/>
  <c r="J53" i="107"/>
  <c r="P54" i="107"/>
  <c r="J54" i="107"/>
  <c r="P59" i="107"/>
  <c r="J59" i="107"/>
  <c r="P44" i="107"/>
  <c r="J44" i="107"/>
  <c r="R55" i="107"/>
  <c r="P45" i="107"/>
  <c r="X45" i="107" s="1"/>
  <c r="J45" i="107"/>
  <c r="P46" i="107"/>
  <c r="J46" i="107"/>
  <c r="P49" i="107"/>
  <c r="J49" i="107"/>
  <c r="P50" i="107"/>
  <c r="J50" i="107"/>
  <c r="P56" i="107"/>
  <c r="J56" i="107"/>
  <c r="P64" i="107"/>
  <c r="J64" i="107"/>
  <c r="J81" i="107"/>
  <c r="P81" i="107"/>
  <c r="P96" i="107"/>
  <c r="J92" i="107"/>
  <c r="J68" i="107"/>
  <c r="J60" i="107"/>
  <c r="J67" i="107"/>
  <c r="J63" i="107"/>
  <c r="J86" i="107"/>
  <c r="J66" i="107"/>
  <c r="J62" i="107"/>
  <c r="R56" i="107"/>
  <c r="R61" i="107"/>
  <c r="R69" i="107"/>
  <c r="P90" i="107"/>
  <c r="R64" i="107"/>
  <c r="R54" i="107"/>
  <c r="X54" i="107" s="1"/>
  <c r="R24" i="107"/>
  <c r="R28" i="107"/>
  <c r="R32" i="107"/>
  <c r="R36" i="107"/>
  <c r="R40" i="107"/>
  <c r="R43" i="107"/>
  <c r="R49" i="107"/>
  <c r="X49" i="107" s="1"/>
  <c r="R51" i="107"/>
  <c r="X51" i="107" s="1"/>
  <c r="R57" i="107"/>
  <c r="R59" i="107"/>
  <c r="R63" i="107"/>
  <c r="X63" i="107" s="1"/>
  <c r="R46" i="107"/>
  <c r="R60" i="107"/>
  <c r="X60" i="107" s="1"/>
  <c r="P19" i="107"/>
  <c r="R21" i="107"/>
  <c r="R25" i="107"/>
  <c r="R29" i="107"/>
  <c r="R33" i="107"/>
  <c r="R37" i="107"/>
  <c r="R41" i="107"/>
  <c r="R44" i="107"/>
  <c r="V44" i="107" s="1"/>
  <c r="R50" i="107"/>
  <c r="R52" i="107"/>
  <c r="R58" i="107"/>
  <c r="R67" i="107"/>
  <c r="X67" i="107" s="1"/>
  <c r="R68" i="107"/>
  <c r="V68" i="107" s="1"/>
  <c r="P71" i="107"/>
  <c r="R72" i="107"/>
  <c r="P76" i="107"/>
  <c r="P80" i="107"/>
  <c r="P82" i="107"/>
  <c r="P88" i="107"/>
  <c r="P93" i="107"/>
  <c r="P97" i="107"/>
  <c r="U18" i="107"/>
  <c r="U10" i="107"/>
  <c r="V10" i="107" s="1"/>
  <c r="U17" i="107"/>
  <c r="V17" i="107" s="1"/>
  <c r="U31" i="107"/>
  <c r="U35" i="107"/>
  <c r="U39" i="107"/>
  <c r="U66" i="107"/>
  <c r="U77" i="107"/>
  <c r="U83" i="107"/>
  <c r="U95" i="107"/>
  <c r="V4" i="107"/>
  <c r="U5" i="107"/>
  <c r="V5" i="107" s="1"/>
  <c r="V6" i="107"/>
  <c r="U6" i="107"/>
  <c r="V12" i="107"/>
  <c r="U13" i="107"/>
  <c r="V13" i="107" s="1"/>
  <c r="U14" i="107"/>
  <c r="V14" i="107" s="1"/>
  <c r="R18" i="107"/>
  <c r="U19" i="107"/>
  <c r="U20" i="107"/>
  <c r="U24" i="107"/>
  <c r="U28" i="107"/>
  <c r="U32" i="107"/>
  <c r="U36" i="107"/>
  <c r="U40" i="107"/>
  <c r="U49" i="107"/>
  <c r="U57" i="107"/>
  <c r="U67" i="107"/>
  <c r="U76" i="107"/>
  <c r="U80" i="107"/>
  <c r="U91" i="107"/>
  <c r="V7" i="107"/>
  <c r="U8" i="107"/>
  <c r="V8" i="107" s="1"/>
  <c r="V15" i="107"/>
  <c r="R20" i="107"/>
  <c r="U21" i="107"/>
  <c r="U25" i="107"/>
  <c r="U29" i="107"/>
  <c r="U33" i="107"/>
  <c r="U37" i="107"/>
  <c r="U41" i="107"/>
  <c r="U72" i="107"/>
  <c r="P74" i="107"/>
  <c r="U79" i="107"/>
  <c r="U88" i="107"/>
  <c r="U93" i="107"/>
  <c r="P20" i="107"/>
  <c r="U22" i="107"/>
  <c r="U26" i="107"/>
  <c r="U30" i="107"/>
  <c r="U34" i="107"/>
  <c r="U38" i="107"/>
  <c r="U42" i="107"/>
  <c r="U45" i="107"/>
  <c r="V45" i="107" s="1"/>
  <c r="U53" i="107"/>
  <c r="U62" i="107"/>
  <c r="U75" i="107"/>
  <c r="U84" i="107"/>
  <c r="U87" i="107"/>
  <c r="U92" i="107"/>
  <c r="U96" i="107"/>
  <c r="U9" i="107"/>
  <c r="V9" i="107" s="1"/>
  <c r="V16" i="107"/>
  <c r="V11" i="107"/>
  <c r="R19" i="107"/>
  <c r="U23" i="107"/>
  <c r="V23" i="107" s="1"/>
  <c r="U27" i="107"/>
  <c r="P22" i="107"/>
  <c r="X22" i="107" s="1"/>
  <c r="P25" i="107"/>
  <c r="P30" i="107"/>
  <c r="P31" i="107"/>
  <c r="P32" i="107"/>
  <c r="P33" i="107"/>
  <c r="P37" i="107"/>
  <c r="P38" i="107"/>
  <c r="X38" i="107" s="1"/>
  <c r="P39" i="107"/>
  <c r="P40" i="107"/>
  <c r="P41" i="107"/>
  <c r="P42" i="107"/>
  <c r="U74" i="107"/>
  <c r="U54" i="107"/>
  <c r="V54" i="107" s="1"/>
  <c r="R66" i="107"/>
  <c r="P69" i="107"/>
  <c r="X69" i="107" s="1"/>
  <c r="U73" i="107"/>
  <c r="P75" i="107"/>
  <c r="U78" i="107"/>
  <c r="U85" i="107"/>
  <c r="P91" i="107"/>
  <c r="U94" i="107"/>
  <c r="U97" i="107"/>
  <c r="P21" i="107"/>
  <c r="P26" i="107"/>
  <c r="P27" i="107"/>
  <c r="X27" i="107" s="1"/>
  <c r="P28" i="107"/>
  <c r="X28" i="107" s="1"/>
  <c r="P29" i="107"/>
  <c r="X29" i="107" s="1"/>
  <c r="R70" i="107"/>
  <c r="R73" i="107"/>
  <c r="U81" i="107"/>
  <c r="P87" i="107"/>
  <c r="U46" i="107"/>
  <c r="U50" i="107"/>
  <c r="U58" i="107"/>
  <c r="U43" i="107"/>
  <c r="U47" i="107"/>
  <c r="U51" i="107"/>
  <c r="V51" i="107" s="1"/>
  <c r="U55" i="107"/>
  <c r="U59" i="107"/>
  <c r="R62" i="107"/>
  <c r="X62" i="107" s="1"/>
  <c r="P65" i="107"/>
  <c r="P72" i="107"/>
  <c r="P79" i="107"/>
  <c r="U82" i="107"/>
  <c r="U89" i="107"/>
  <c r="P95" i="107"/>
  <c r="U90" i="107"/>
  <c r="P61" i="107"/>
  <c r="X61" i="107" s="1"/>
  <c r="P70" i="107"/>
  <c r="P73" i="107"/>
  <c r="R74" i="107"/>
  <c r="P78" i="107"/>
  <c r="P83" i="107"/>
  <c r="P85" i="107"/>
  <c r="U86" i="107"/>
  <c r="P94" i="107"/>
  <c r="R71" i="107"/>
  <c r="R75" i="107"/>
  <c r="R76" i="107"/>
  <c r="R77" i="107"/>
  <c r="X77" i="107" s="1"/>
  <c r="R78" i="107"/>
  <c r="R79" i="107"/>
  <c r="R80" i="107"/>
  <c r="R81" i="107"/>
  <c r="X81" i="107" s="1"/>
  <c r="R82" i="107"/>
  <c r="R83" i="107"/>
  <c r="R84" i="107"/>
  <c r="V84" i="107" s="1"/>
  <c r="R85" i="107"/>
  <c r="R86" i="107"/>
  <c r="X86" i="107" s="1"/>
  <c r="R87" i="107"/>
  <c r="R88" i="107"/>
  <c r="V88" i="107" s="1"/>
  <c r="R89" i="107"/>
  <c r="R90" i="107"/>
  <c r="R91" i="107"/>
  <c r="R92" i="107"/>
  <c r="V92" i="107" s="1"/>
  <c r="R93" i="107"/>
  <c r="R94" i="107"/>
  <c r="R95" i="107"/>
  <c r="R96" i="107"/>
  <c r="X96" i="107" s="1"/>
  <c r="R97" i="107"/>
  <c r="CM6" i="83"/>
  <c r="G13" i="83"/>
  <c r="G14" i="83"/>
  <c r="G15" i="83"/>
  <c r="G16" i="83"/>
  <c r="G22" i="83"/>
  <c r="G23" i="83"/>
  <c r="G24" i="83"/>
  <c r="G25" i="83"/>
  <c r="G26" i="83"/>
  <c r="G27" i="83"/>
  <c r="G30" i="83"/>
  <c r="G29" i="83" s="1"/>
  <c r="G31" i="83"/>
  <c r="G32" i="83"/>
  <c r="G33" i="83"/>
  <c r="G35" i="83"/>
  <c r="G42" i="83" s="1"/>
  <c r="G61" i="83" s="1"/>
  <c r="G36" i="83"/>
  <c r="G37" i="83"/>
  <c r="G38" i="83"/>
  <c r="G39" i="83"/>
  <c r="G40" i="83"/>
  <c r="G41" i="83"/>
  <c r="G43" i="83"/>
  <c r="G59" i="83" s="1"/>
  <c r="G44" i="83"/>
  <c r="G45" i="83"/>
  <c r="G46" i="83"/>
  <c r="G47" i="83"/>
  <c r="G48" i="83"/>
  <c r="G49" i="83"/>
  <c r="G50" i="83"/>
  <c r="G60" i="83"/>
  <c r="G62" i="83"/>
  <c r="G63" i="83"/>
  <c r="G65" i="83"/>
  <c r="G64" i="83" l="1"/>
  <c r="V90" i="107"/>
  <c r="V50" i="107"/>
  <c r="X42" i="107"/>
  <c r="X20" i="107"/>
  <c r="X57" i="107"/>
  <c r="X46" i="107"/>
  <c r="X70" i="107"/>
  <c r="X50" i="107"/>
  <c r="X64" i="107"/>
  <c r="X35" i="107"/>
  <c r="X78" i="107"/>
  <c r="V69" i="107"/>
  <c r="X25" i="107"/>
  <c r="X48" i="107"/>
  <c r="V56" i="107"/>
  <c r="V24" i="107"/>
  <c r="V80" i="107"/>
  <c r="V47" i="107"/>
  <c r="X39" i="107"/>
  <c r="V39" i="107"/>
  <c r="X59" i="107"/>
  <c r="X85" i="107"/>
  <c r="V59" i="107"/>
  <c r="X21" i="107"/>
  <c r="X31" i="107"/>
  <c r="V27" i="107"/>
  <c r="V53" i="107"/>
  <c r="V37" i="107"/>
  <c r="V67" i="107"/>
  <c r="V36" i="107"/>
  <c r="X24" i="107"/>
  <c r="X53" i="107"/>
  <c r="V55" i="107"/>
  <c r="X30" i="107"/>
  <c r="X82" i="107"/>
  <c r="X71" i="107"/>
  <c r="V52" i="107"/>
  <c r="X36" i="107"/>
  <c r="X68" i="107"/>
  <c r="V34" i="107"/>
  <c r="V60" i="107"/>
  <c r="V73" i="107"/>
  <c r="X40" i="107"/>
  <c r="V32" i="107"/>
  <c r="X23" i="107"/>
  <c r="V43" i="107"/>
  <c r="V22" i="107"/>
  <c r="V25" i="107"/>
  <c r="V18" i="107"/>
  <c r="V58" i="107"/>
  <c r="X56" i="107"/>
  <c r="X43" i="107"/>
  <c r="V83" i="107"/>
  <c r="V79" i="107"/>
  <c r="V75" i="107"/>
  <c r="V86" i="107"/>
  <c r="V74" i="107"/>
  <c r="V62" i="107"/>
  <c r="V81" i="107"/>
  <c r="V66" i="107"/>
  <c r="X37" i="107"/>
  <c r="V77" i="107"/>
  <c r="V35" i="107"/>
  <c r="X97" i="107"/>
  <c r="V33" i="107"/>
  <c r="X19" i="107"/>
  <c r="X55" i="107"/>
  <c r="V87" i="107"/>
  <c r="V94" i="107"/>
  <c r="V91" i="107"/>
  <c r="V89" i="107"/>
  <c r="X95" i="107"/>
  <c r="V97" i="107"/>
  <c r="V93" i="107"/>
  <c r="X90" i="107"/>
  <c r="X89" i="107"/>
  <c r="V76" i="107"/>
  <c r="X88" i="107"/>
  <c r="X92" i="107"/>
  <c r="V95" i="107"/>
  <c r="X79" i="107"/>
  <c r="V46" i="107"/>
  <c r="V64" i="107"/>
  <c r="V41" i="107"/>
  <c r="X41" i="107"/>
  <c r="V42" i="107"/>
  <c r="V72" i="107"/>
  <c r="V21" i="107"/>
  <c r="V49" i="107"/>
  <c r="V82" i="107"/>
  <c r="V78" i="107"/>
  <c r="V71" i="107"/>
  <c r="V65" i="107"/>
  <c r="X65" i="107"/>
  <c r="X87" i="107"/>
  <c r="X33" i="107"/>
  <c r="V19" i="107"/>
  <c r="V20" i="107"/>
  <c r="V61" i="107"/>
  <c r="V40" i="107"/>
  <c r="V28" i="107"/>
  <c r="X80" i="107"/>
  <c r="X84" i="107"/>
  <c r="X44" i="107"/>
  <c r="X58" i="107"/>
  <c r="X66" i="107"/>
  <c r="V85" i="107"/>
  <c r="X94" i="107"/>
  <c r="X83" i="107"/>
  <c r="X73" i="107"/>
  <c r="V63" i="107"/>
  <c r="X72" i="107"/>
  <c r="V70" i="107"/>
  <c r="V26" i="107"/>
  <c r="X26" i="107"/>
  <c r="X91" i="107"/>
  <c r="X75" i="107"/>
  <c r="X32" i="107"/>
  <c r="V96" i="107"/>
  <c r="V38" i="107"/>
  <c r="V30" i="107"/>
  <c r="X74" i="107"/>
  <c r="V29" i="107"/>
  <c r="V57" i="107"/>
  <c r="V31" i="107"/>
  <c r="X93" i="107"/>
  <c r="X76" i="107"/>
  <c r="X52" i="107"/>
  <c r="X18" i="107"/>
  <c r="G66" i="83"/>
  <c r="BL1" i="83" l="1"/>
  <c r="X1" i="83"/>
  <c r="AB1" i="83"/>
  <c r="AZ1" i="83"/>
  <c r="BH1" i="83"/>
  <c r="CF1" i="83"/>
  <c r="CJ1" i="83"/>
  <c r="AG1" i="83"/>
  <c r="CC1" i="83"/>
  <c r="AU1" i="83"/>
  <c r="I1" i="83"/>
  <c r="AH1" i="83"/>
  <c r="AP1" i="83"/>
  <c r="BF1" i="83"/>
  <c r="AD1" i="83"/>
  <c r="V1" i="83"/>
  <c r="AV1" i="83"/>
  <c r="W1" i="83"/>
  <c r="AQ1" i="83"/>
  <c r="BQ1" i="83"/>
  <c r="O1" i="83"/>
  <c r="L1" i="83"/>
  <c r="BA1" i="83"/>
  <c r="BM1" i="83"/>
  <c r="BT1" i="83"/>
  <c r="Z1" i="83" l="1"/>
  <c r="CG1" i="83"/>
  <c r="AN1" i="83"/>
  <c r="J1" i="83"/>
  <c r="N1" i="83"/>
  <c r="Q1" i="83"/>
  <c r="AX1" i="83"/>
  <c r="AT1" i="83"/>
  <c r="AY1" i="83"/>
  <c r="BD1" i="83"/>
  <c r="BR1" i="83"/>
  <c r="CA1" i="83"/>
  <c r="AO1" i="83"/>
  <c r="U1" i="83"/>
  <c r="M1" i="83"/>
  <c r="AR1" i="83"/>
  <c r="AK1" i="83"/>
  <c r="AA1" i="83"/>
  <c r="BK1" i="83"/>
  <c r="BN1" i="83"/>
  <c r="AW1" i="83"/>
  <c r="AJ1" i="83"/>
  <c r="BZ1" i="83"/>
  <c r="AS1" i="83"/>
  <c r="BE1" i="83"/>
  <c r="AC1" i="83"/>
  <c r="BV1" i="83"/>
  <c r="BO1" i="83"/>
  <c r="AM1" i="83"/>
  <c r="BC1" i="83"/>
  <c r="T1" i="83"/>
  <c r="Y1" i="83"/>
  <c r="BU1" i="83"/>
  <c r="K1" i="83"/>
  <c r="BP1" i="83"/>
  <c r="CI1" i="83"/>
  <c r="G1" i="83"/>
  <c r="CH1" i="83"/>
  <c r="R1" i="83"/>
  <c r="BW1" i="83"/>
  <c r="H1" i="83"/>
  <c r="AL1" i="83"/>
  <c r="AI1" i="83"/>
  <c r="BS1" i="83"/>
  <c r="BY1" i="83"/>
  <c r="BI1" i="83"/>
  <c r="BJ1" i="83"/>
  <c r="CE1" i="83"/>
  <c r="S1" i="83"/>
  <c r="AE1" i="83"/>
  <c r="CK1" i="83"/>
  <c r="CB1" i="83"/>
  <c r="AF1" i="83"/>
  <c r="P1" i="83"/>
  <c r="CL1" i="83"/>
  <c r="BX1" i="83"/>
  <c r="BB1" i="83" l="1"/>
  <c r="BG1" i="83"/>
  <c r="CD1" i="83"/>
  <c r="D9" i="79" l="1"/>
  <c r="D7" i="79"/>
  <c r="D12" i="79" l="1"/>
  <c r="H13" i="83" l="1"/>
  <c r="I13" i="83"/>
  <c r="I30" i="83" s="1"/>
  <c r="J13" i="83"/>
  <c r="H14" i="83"/>
  <c r="H31" i="83" s="1"/>
  <c r="I14" i="83"/>
  <c r="I25" i="83" s="1"/>
  <c r="J14" i="83"/>
  <c r="H15" i="83"/>
  <c r="H26" i="83" s="1"/>
  <c r="I15" i="83"/>
  <c r="I26" i="83" s="1"/>
  <c r="J15" i="83"/>
  <c r="H16" i="83"/>
  <c r="H27" i="83" s="1"/>
  <c r="I16" i="83"/>
  <c r="I33" i="83" s="1"/>
  <c r="J16" i="83"/>
  <c r="J27" i="83" s="1"/>
  <c r="H22" i="83"/>
  <c r="I22" i="83"/>
  <c r="J22" i="83"/>
  <c r="H23" i="83"/>
  <c r="I23" i="83"/>
  <c r="J23" i="83"/>
  <c r="H24" i="83"/>
  <c r="I24" i="83"/>
  <c r="J24" i="83"/>
  <c r="J25" i="83"/>
  <c r="J26" i="83"/>
  <c r="H30" i="83"/>
  <c r="J30" i="83"/>
  <c r="J31" i="83"/>
  <c r="J32" i="83"/>
  <c r="J33" i="83"/>
  <c r="H35" i="83"/>
  <c r="I35" i="83"/>
  <c r="J35" i="83"/>
  <c r="H36" i="83"/>
  <c r="I36" i="83"/>
  <c r="J36" i="83"/>
  <c r="H37" i="83"/>
  <c r="I37" i="83"/>
  <c r="J37" i="83"/>
  <c r="H38" i="83"/>
  <c r="I38" i="83"/>
  <c r="J38" i="83"/>
  <c r="H39" i="83"/>
  <c r="I39" i="83"/>
  <c r="J39" i="83"/>
  <c r="H40" i="83"/>
  <c r="I40" i="83"/>
  <c r="J40" i="83"/>
  <c r="H41" i="83"/>
  <c r="I41" i="83"/>
  <c r="J41" i="83"/>
  <c r="H32" i="83" l="1"/>
  <c r="I32" i="83"/>
  <c r="I31" i="83"/>
  <c r="I29" i="83" s="1"/>
  <c r="J29" i="83"/>
  <c r="I27" i="83"/>
  <c r="H25" i="83"/>
  <c r="H33" i="83"/>
  <c r="H29" i="83" s="1"/>
  <c r="E36" i="52"/>
  <c r="D36" i="52"/>
  <c r="D73" i="86"/>
  <c r="B73" i="86"/>
  <c r="B59" i="86"/>
  <c r="D59" i="86"/>
  <c r="D43" i="86"/>
  <c r="B43" i="86"/>
  <c r="G12" i="88" l="1"/>
  <c r="G15" i="88"/>
  <c r="G14" i="88"/>
  <c r="G9" i="105"/>
  <c r="G11" i="77"/>
  <c r="G9" i="77" s="1"/>
  <c r="C46" i="100" l="1"/>
  <c r="C85" i="86" l="1"/>
  <c r="C84" i="86"/>
  <c r="C83" i="86"/>
  <c r="C72" i="86"/>
  <c r="C71" i="86"/>
  <c r="C70" i="86"/>
  <c r="C57" i="86"/>
  <c r="C58" i="86"/>
  <c r="C56" i="86"/>
  <c r="D55" i="86"/>
  <c r="B55" i="86"/>
  <c r="B39" i="86"/>
  <c r="D39" i="86"/>
  <c r="A1" i="98"/>
  <c r="A2" i="98" l="1"/>
  <c r="A13" i="98"/>
  <c r="C13" i="98" l="1"/>
  <c r="C41" i="86"/>
  <c r="CM74" i="106"/>
  <c r="D32" i="86" s="1"/>
  <c r="CM73" i="106"/>
  <c r="D22" i="86" s="1"/>
  <c r="CM72" i="106"/>
  <c r="D12" i="86" s="1"/>
  <c r="CM56" i="106"/>
  <c r="H15" i="106" l="1"/>
  <c r="I15" i="106"/>
  <c r="J15" i="106"/>
  <c r="K15" i="106"/>
  <c r="L15" i="106"/>
  <c r="M15" i="106"/>
  <c r="N15" i="106"/>
  <c r="O15" i="106"/>
  <c r="P15" i="106"/>
  <c r="Q15" i="106"/>
  <c r="R15" i="106"/>
  <c r="S15" i="106"/>
  <c r="T15" i="106"/>
  <c r="U15" i="106"/>
  <c r="V15" i="106"/>
  <c r="V32" i="106" s="1"/>
  <c r="W15" i="106"/>
  <c r="X15" i="106"/>
  <c r="Y15" i="106"/>
  <c r="Z15" i="106"/>
  <c r="AA15" i="106"/>
  <c r="AB15" i="106"/>
  <c r="AC15" i="106"/>
  <c r="AD15" i="106"/>
  <c r="AD32" i="106" s="1"/>
  <c r="AE15" i="106"/>
  <c r="AE32" i="106" s="1"/>
  <c r="AF15" i="106"/>
  <c r="AG15" i="106"/>
  <c r="AH15" i="106"/>
  <c r="AI15" i="106"/>
  <c r="AJ15" i="106"/>
  <c r="AK15" i="106"/>
  <c r="AL15" i="106"/>
  <c r="AM15" i="106"/>
  <c r="AN15" i="106"/>
  <c r="AO15" i="106"/>
  <c r="AP15" i="106"/>
  <c r="AQ15" i="106"/>
  <c r="AR15" i="106"/>
  <c r="AS15" i="106"/>
  <c r="AT15" i="106"/>
  <c r="AU15" i="106"/>
  <c r="AV15" i="106"/>
  <c r="AW15" i="106"/>
  <c r="AX15" i="106"/>
  <c r="AY15" i="106"/>
  <c r="AZ15" i="106"/>
  <c r="BA15" i="106"/>
  <c r="BB15" i="106"/>
  <c r="BB32" i="106" s="1"/>
  <c r="BC15" i="106"/>
  <c r="BD15" i="106"/>
  <c r="BE15" i="106"/>
  <c r="BF15" i="106"/>
  <c r="BG15" i="106"/>
  <c r="BH15" i="106"/>
  <c r="BI15" i="106"/>
  <c r="BJ15" i="106"/>
  <c r="BJ32" i="106" s="1"/>
  <c r="BK15" i="106"/>
  <c r="BK32" i="106" s="1"/>
  <c r="BL15" i="106"/>
  <c r="BM15" i="106"/>
  <c r="BM32" i="106" s="1"/>
  <c r="BN15" i="106"/>
  <c r="BO15" i="106"/>
  <c r="BP15" i="106"/>
  <c r="BQ15" i="106"/>
  <c r="BR15" i="106"/>
  <c r="BS15" i="106"/>
  <c r="BT15" i="106"/>
  <c r="BU15" i="106"/>
  <c r="BV15" i="106"/>
  <c r="BW15" i="106"/>
  <c r="BX15" i="106"/>
  <c r="BY15" i="106"/>
  <c r="BZ15" i="106"/>
  <c r="CA15" i="106"/>
  <c r="CB15" i="106"/>
  <c r="CC15" i="106"/>
  <c r="CD15" i="106"/>
  <c r="CE15" i="106"/>
  <c r="CF15" i="106"/>
  <c r="CG15" i="106"/>
  <c r="CG32" i="106" s="1"/>
  <c r="CH15" i="106"/>
  <c r="CI15" i="106"/>
  <c r="CJ15" i="106"/>
  <c r="CK15" i="106"/>
  <c r="CL15" i="106"/>
  <c r="H14" i="106"/>
  <c r="I14" i="106"/>
  <c r="J14" i="106"/>
  <c r="CM14" i="106" s="1"/>
  <c r="K14" i="106"/>
  <c r="L14" i="106"/>
  <c r="L20" i="106" s="1"/>
  <c r="M14" i="106"/>
  <c r="N14" i="106"/>
  <c r="O14" i="106"/>
  <c r="P14" i="106"/>
  <c r="P25" i="106" s="1"/>
  <c r="Q14" i="106"/>
  <c r="Q25" i="106" s="1"/>
  <c r="R14" i="106"/>
  <c r="R31" i="106" s="1"/>
  <c r="S14" i="106"/>
  <c r="S31" i="106" s="1"/>
  <c r="T14" i="106"/>
  <c r="T20" i="106" s="1"/>
  <c r="U14" i="106"/>
  <c r="V14" i="106"/>
  <c r="W14" i="106"/>
  <c r="X14" i="106"/>
  <c r="Y14" i="106"/>
  <c r="Z14" i="106"/>
  <c r="Z48" i="106" s="1"/>
  <c r="AA14" i="106"/>
  <c r="AA31" i="106" s="1"/>
  <c r="AB14" i="106"/>
  <c r="AB31" i="106" s="1"/>
  <c r="AC14" i="106"/>
  <c r="AD14" i="106"/>
  <c r="AE14" i="106"/>
  <c r="AF14" i="106"/>
  <c r="AG14" i="106"/>
  <c r="AH14" i="106"/>
  <c r="AH48" i="106" s="1"/>
  <c r="AI14" i="106"/>
  <c r="AI31" i="106" s="1"/>
  <c r="AJ14" i="106"/>
  <c r="AJ31" i="106" s="1"/>
  <c r="AK14" i="106"/>
  <c r="AL14" i="106"/>
  <c r="AM14" i="106"/>
  <c r="AN14" i="106"/>
  <c r="AO14" i="106"/>
  <c r="AO25" i="106" s="1"/>
  <c r="AP14" i="106"/>
  <c r="AP48" i="106" s="1"/>
  <c r="AQ14" i="106"/>
  <c r="AQ31" i="106" s="1"/>
  <c r="AR14" i="106"/>
  <c r="AS14" i="106"/>
  <c r="AT14" i="106"/>
  <c r="AU14" i="106"/>
  <c r="AV14" i="106"/>
  <c r="AW14" i="106"/>
  <c r="AX14" i="106"/>
  <c r="AX48" i="106" s="1"/>
  <c r="AY14" i="106"/>
  <c r="AY31" i="106" s="1"/>
  <c r="AZ14" i="106"/>
  <c r="AZ31" i="106" s="1"/>
  <c r="BA14" i="106"/>
  <c r="BB14" i="106"/>
  <c r="BC14" i="106"/>
  <c r="BD14" i="106"/>
  <c r="BE14" i="106"/>
  <c r="BE25" i="106" s="1"/>
  <c r="BF14" i="106"/>
  <c r="BF25" i="106" s="1"/>
  <c r="BG14" i="106"/>
  <c r="BG31" i="106" s="1"/>
  <c r="BH14" i="106"/>
  <c r="BH20" i="106" s="1"/>
  <c r="BI14" i="106"/>
  <c r="BJ14" i="106"/>
  <c r="BK14" i="106"/>
  <c r="BL14" i="106"/>
  <c r="BL25" i="106" s="1"/>
  <c r="BM14" i="106"/>
  <c r="BM48" i="106" s="1"/>
  <c r="BN14" i="106"/>
  <c r="BN48" i="106" s="1"/>
  <c r="BO14" i="106"/>
  <c r="BP14" i="106"/>
  <c r="BP31" i="106" s="1"/>
  <c r="BQ14" i="106"/>
  <c r="BR14" i="106"/>
  <c r="BS14" i="106"/>
  <c r="BT14" i="106"/>
  <c r="BU14" i="106"/>
  <c r="BV14" i="106"/>
  <c r="BV48" i="106" s="1"/>
  <c r="BW14" i="106"/>
  <c r="BX14" i="106"/>
  <c r="BX20" i="106" s="1"/>
  <c r="BY14" i="106"/>
  <c r="BZ14" i="106"/>
  <c r="CA14" i="106"/>
  <c r="CB14" i="106"/>
  <c r="CB25" i="106" s="1"/>
  <c r="CC14" i="106"/>
  <c r="CC25" i="106" s="1"/>
  <c r="CD14" i="106"/>
  <c r="CD25" i="106" s="1"/>
  <c r="CE14" i="106"/>
  <c r="CE31" i="106" s="1"/>
  <c r="CF14" i="106"/>
  <c r="CF31" i="106" s="1"/>
  <c r="CG14" i="106"/>
  <c r="CH14" i="106"/>
  <c r="CI14" i="106"/>
  <c r="CJ14" i="106"/>
  <c r="CK14" i="106"/>
  <c r="CL14" i="106"/>
  <c r="CL25" i="106" s="1"/>
  <c r="H13" i="106"/>
  <c r="H30" i="106" s="1"/>
  <c r="I13" i="106"/>
  <c r="J13" i="106"/>
  <c r="K13" i="106"/>
  <c r="L13" i="106"/>
  <c r="M13" i="106"/>
  <c r="N13" i="106"/>
  <c r="N24" i="106" s="1"/>
  <c r="O13" i="106"/>
  <c r="O24" i="106" s="1"/>
  <c r="P13" i="106"/>
  <c r="P30" i="106" s="1"/>
  <c r="Q13" i="106"/>
  <c r="R13" i="106"/>
  <c r="S13" i="106"/>
  <c r="T13" i="106"/>
  <c r="U13" i="106"/>
  <c r="U24" i="106" s="1"/>
  <c r="V13" i="106"/>
  <c r="V24" i="106" s="1"/>
  <c r="W13" i="106"/>
  <c r="W47" i="106" s="1"/>
  <c r="X13" i="106"/>
  <c r="X30" i="106" s="1"/>
  <c r="Y13" i="106"/>
  <c r="Z13" i="106"/>
  <c r="AA13" i="106"/>
  <c r="AB13" i="106"/>
  <c r="AC13" i="106"/>
  <c r="AD13" i="106"/>
  <c r="AE13" i="106"/>
  <c r="AE47" i="106" s="1"/>
  <c r="AF13" i="106"/>
  <c r="AG13" i="106"/>
  <c r="AH13" i="106"/>
  <c r="AI13" i="106"/>
  <c r="AJ13" i="106"/>
  <c r="AK13" i="106"/>
  <c r="AL13" i="106"/>
  <c r="AL21" i="106" s="1"/>
  <c r="AM13" i="106"/>
  <c r="AM47" i="106" s="1"/>
  <c r="AN13" i="106"/>
  <c r="AN30" i="106" s="1"/>
  <c r="AO13" i="106"/>
  <c r="AO30" i="106" s="1"/>
  <c r="AP13" i="106"/>
  <c r="AQ13" i="106"/>
  <c r="AR13" i="106"/>
  <c r="AS13" i="106"/>
  <c r="AT13" i="106"/>
  <c r="AU13" i="106"/>
  <c r="AU47" i="106" s="1"/>
  <c r="AV13" i="106"/>
  <c r="AV30" i="106" s="1"/>
  <c r="AW13" i="106"/>
  <c r="AW30" i="106" s="1"/>
  <c r="AX13" i="106"/>
  <c r="AY13" i="106"/>
  <c r="AZ13" i="106"/>
  <c r="BA13" i="106"/>
  <c r="BB13" i="106"/>
  <c r="BB24" i="106" s="1"/>
  <c r="BC13" i="106"/>
  <c r="BC24" i="106" s="1"/>
  <c r="BD13" i="106"/>
  <c r="BD30" i="106" s="1"/>
  <c r="BE13" i="106"/>
  <c r="BF13" i="106"/>
  <c r="BG13" i="106"/>
  <c r="BH13" i="106"/>
  <c r="BI13" i="106"/>
  <c r="BI24" i="106" s="1"/>
  <c r="BJ13" i="106"/>
  <c r="BJ24" i="106" s="1"/>
  <c r="BK13" i="106"/>
  <c r="BK47" i="106" s="1"/>
  <c r="BL13" i="106"/>
  <c r="BL30" i="106" s="1"/>
  <c r="BM13" i="106"/>
  <c r="BN13" i="106"/>
  <c r="BO13" i="106"/>
  <c r="BP13" i="106"/>
  <c r="BQ13" i="106"/>
  <c r="BR13" i="106"/>
  <c r="BS13" i="106"/>
  <c r="BS47" i="106" s="1"/>
  <c r="BT13" i="106"/>
  <c r="BT30" i="106" s="1"/>
  <c r="BU13" i="106"/>
  <c r="BV13" i="106"/>
  <c r="BW13" i="106"/>
  <c r="BX13" i="106"/>
  <c r="BY13" i="106"/>
  <c r="BZ13" i="106"/>
  <c r="BZ24" i="106" s="1"/>
  <c r="CA13" i="106"/>
  <c r="CA24" i="106" s="1"/>
  <c r="CB13" i="106"/>
  <c r="CC13" i="106"/>
  <c r="CC30" i="106" s="1"/>
  <c r="CD13" i="106"/>
  <c r="CE13" i="106"/>
  <c r="CF13" i="106"/>
  <c r="CG13" i="106"/>
  <c r="CH13" i="106"/>
  <c r="CH24" i="106" s="1"/>
  <c r="CI13" i="106"/>
  <c r="CI47" i="106" s="1"/>
  <c r="CJ13" i="106"/>
  <c r="CJ30" i="106" s="1"/>
  <c r="CK13" i="106"/>
  <c r="CL13" i="106"/>
  <c r="H12" i="106"/>
  <c r="I12" i="106"/>
  <c r="J12" i="106"/>
  <c r="K12" i="106"/>
  <c r="L12" i="106"/>
  <c r="M12" i="106"/>
  <c r="M46" i="106" s="1"/>
  <c r="N12" i="106"/>
  <c r="O12" i="106"/>
  <c r="P12" i="106"/>
  <c r="Q12" i="106"/>
  <c r="R12" i="106"/>
  <c r="S12" i="106"/>
  <c r="S21" i="106" s="1"/>
  <c r="T12" i="106"/>
  <c r="U12" i="106"/>
  <c r="U46" i="106" s="1"/>
  <c r="V12" i="106"/>
  <c r="W12" i="106"/>
  <c r="X12" i="106"/>
  <c r="Y12" i="106"/>
  <c r="Z12" i="106"/>
  <c r="AA12" i="106"/>
  <c r="AA22" i="106" s="1"/>
  <c r="AB12" i="106"/>
  <c r="AC12" i="106"/>
  <c r="AC20" i="106" s="1"/>
  <c r="AD12" i="106"/>
  <c r="AE12" i="106"/>
  <c r="AF12" i="106"/>
  <c r="AG12" i="106"/>
  <c r="AH12" i="106"/>
  <c r="AI12" i="106"/>
  <c r="AJ12" i="106"/>
  <c r="AK12" i="106"/>
  <c r="AK29" i="106" s="1"/>
  <c r="AL12" i="106"/>
  <c r="AM12" i="106"/>
  <c r="AN12" i="106"/>
  <c r="AO12" i="106"/>
  <c r="AP12" i="106"/>
  <c r="AQ12" i="106"/>
  <c r="AQ21" i="106" s="1"/>
  <c r="AR12" i="106"/>
  <c r="AS12" i="106"/>
  <c r="AS29" i="106" s="1"/>
  <c r="AT12" i="106"/>
  <c r="AU12" i="106"/>
  <c r="AV12" i="106"/>
  <c r="AW12" i="106"/>
  <c r="AX12" i="106"/>
  <c r="AY12" i="106"/>
  <c r="AZ12" i="106"/>
  <c r="BA12" i="106"/>
  <c r="BB12" i="106"/>
  <c r="BC12" i="106"/>
  <c r="BD12" i="106"/>
  <c r="BE12" i="106"/>
  <c r="BF12" i="106"/>
  <c r="BG12" i="106"/>
  <c r="BG20" i="106" s="1"/>
  <c r="BH12" i="106"/>
  <c r="BI12" i="106"/>
  <c r="BI29" i="106" s="1"/>
  <c r="BJ12" i="106"/>
  <c r="BK12" i="106"/>
  <c r="BL12" i="106"/>
  <c r="BM12" i="106"/>
  <c r="BN12" i="106"/>
  <c r="BO12" i="106"/>
  <c r="BO20" i="106" s="1"/>
  <c r="BP12" i="106"/>
  <c r="BQ12" i="106"/>
  <c r="BR12" i="106"/>
  <c r="BS12" i="106"/>
  <c r="BT12" i="106"/>
  <c r="BU12" i="106"/>
  <c r="BV12" i="106"/>
  <c r="BW12" i="106"/>
  <c r="BW21" i="106" s="1"/>
  <c r="BX12" i="106"/>
  <c r="BY12" i="106"/>
  <c r="BY29" i="106" s="1"/>
  <c r="BZ12" i="106"/>
  <c r="CA12" i="106"/>
  <c r="CB12" i="106"/>
  <c r="CC12" i="106"/>
  <c r="CD12" i="106"/>
  <c r="CE12" i="106"/>
  <c r="CE20" i="106" s="1"/>
  <c r="CF12" i="106"/>
  <c r="CG12" i="106"/>
  <c r="CG29" i="106" s="1"/>
  <c r="CH12" i="106"/>
  <c r="CI12" i="106"/>
  <c r="CJ12" i="106"/>
  <c r="CK12" i="106"/>
  <c r="CL12" i="106"/>
  <c r="CL57" i="106"/>
  <c r="CK57" i="106"/>
  <c r="CJ57" i="106"/>
  <c r="CI57" i="106"/>
  <c r="CH57" i="106"/>
  <c r="CG57" i="106"/>
  <c r="CF57" i="106"/>
  <c r="CE57" i="106"/>
  <c r="CD57" i="106"/>
  <c r="CC57" i="106"/>
  <c r="CB57" i="106"/>
  <c r="CA57" i="106"/>
  <c r="BZ57" i="106"/>
  <c r="BY57" i="106"/>
  <c r="BX57" i="106"/>
  <c r="BW57" i="106"/>
  <c r="BV57" i="106"/>
  <c r="BU57" i="106"/>
  <c r="BT57" i="106"/>
  <c r="BS57" i="106"/>
  <c r="BR57" i="106"/>
  <c r="BQ57" i="106"/>
  <c r="BP57" i="106"/>
  <c r="BO57" i="106"/>
  <c r="BN57" i="106"/>
  <c r="BM57" i="106"/>
  <c r="BL57" i="106"/>
  <c r="BK57" i="106"/>
  <c r="BJ57" i="106"/>
  <c r="BI57" i="106"/>
  <c r="BH57" i="106"/>
  <c r="BG57" i="106"/>
  <c r="BF57" i="106"/>
  <c r="BE57" i="106"/>
  <c r="BD57" i="106"/>
  <c r="BC57" i="106"/>
  <c r="BB57" i="106"/>
  <c r="BA57" i="106"/>
  <c r="AZ57" i="106"/>
  <c r="AY57" i="106"/>
  <c r="AX57" i="106"/>
  <c r="AW57" i="106"/>
  <c r="AV57" i="106"/>
  <c r="AU57" i="106"/>
  <c r="AT57" i="106"/>
  <c r="AS57" i="106"/>
  <c r="AR57" i="106"/>
  <c r="AQ57" i="106"/>
  <c r="AP57" i="106"/>
  <c r="AO57" i="106"/>
  <c r="AN57" i="106"/>
  <c r="AM57" i="106"/>
  <c r="AL57" i="106"/>
  <c r="AK57" i="106"/>
  <c r="AJ57" i="106"/>
  <c r="AI57" i="106"/>
  <c r="AH57" i="106"/>
  <c r="AG57" i="106"/>
  <c r="AF57" i="106"/>
  <c r="AE57" i="106"/>
  <c r="AD57" i="106"/>
  <c r="AC57" i="106"/>
  <c r="AB57" i="106"/>
  <c r="AA57" i="106"/>
  <c r="Z57" i="106"/>
  <c r="Y57" i="106"/>
  <c r="X57" i="106"/>
  <c r="W57" i="106"/>
  <c r="V57" i="106"/>
  <c r="U57" i="106"/>
  <c r="T57" i="106"/>
  <c r="S57" i="106"/>
  <c r="FU41" i="106"/>
  <c r="FT41" i="106"/>
  <c r="FS41" i="106"/>
  <c r="FR41" i="106"/>
  <c r="FQ41" i="106"/>
  <c r="FP41" i="106"/>
  <c r="FO41" i="106"/>
  <c r="FN41" i="106"/>
  <c r="FM41" i="106"/>
  <c r="FL41" i="106"/>
  <c r="FK41" i="106"/>
  <c r="FJ41" i="106"/>
  <c r="FI41" i="106"/>
  <c r="FH41" i="106"/>
  <c r="FG41" i="106"/>
  <c r="FF41" i="106"/>
  <c r="FE41" i="106"/>
  <c r="FD41" i="106"/>
  <c r="FC41" i="106"/>
  <c r="FB41" i="106"/>
  <c r="FA41" i="106"/>
  <c r="EZ41" i="106"/>
  <c r="EY41" i="106"/>
  <c r="EX41" i="106"/>
  <c r="EW41" i="106"/>
  <c r="EV41" i="106"/>
  <c r="EU41" i="106"/>
  <c r="ET41" i="106"/>
  <c r="ES41" i="106"/>
  <c r="ER41" i="106"/>
  <c r="EQ41" i="106"/>
  <c r="EP41" i="106"/>
  <c r="EO41" i="106"/>
  <c r="EN41" i="106"/>
  <c r="EM41" i="106"/>
  <c r="EL41" i="106"/>
  <c r="EK41" i="106"/>
  <c r="EJ41" i="106"/>
  <c r="EI41" i="106"/>
  <c r="EH41" i="106"/>
  <c r="EG41" i="106"/>
  <c r="EF41" i="106"/>
  <c r="EE41" i="106"/>
  <c r="ED41" i="106"/>
  <c r="EC41" i="106"/>
  <c r="EB41" i="106"/>
  <c r="EA41" i="106"/>
  <c r="DZ41" i="106"/>
  <c r="DY41" i="106"/>
  <c r="DX41" i="106"/>
  <c r="DW41" i="106"/>
  <c r="DV41" i="106"/>
  <c r="DU41" i="106"/>
  <c r="DT41" i="106"/>
  <c r="DS41" i="106"/>
  <c r="DR41" i="106"/>
  <c r="DQ41" i="106"/>
  <c r="DP41" i="106"/>
  <c r="DO41" i="106"/>
  <c r="DN41" i="106"/>
  <c r="DM41" i="106"/>
  <c r="DL41" i="106"/>
  <c r="DK41" i="106"/>
  <c r="DJ41" i="106"/>
  <c r="DI41" i="106"/>
  <c r="DH41" i="106"/>
  <c r="DG41" i="106"/>
  <c r="DF41" i="106"/>
  <c r="DE41" i="106"/>
  <c r="DD41" i="106"/>
  <c r="DC41" i="106"/>
  <c r="DB41" i="106"/>
  <c r="DA41" i="106"/>
  <c r="CZ41" i="106"/>
  <c r="CY41" i="106"/>
  <c r="CX41" i="106"/>
  <c r="CW41" i="106"/>
  <c r="CV41" i="106"/>
  <c r="CU41" i="106"/>
  <c r="CT41" i="106"/>
  <c r="CS41" i="106"/>
  <c r="CR41" i="106"/>
  <c r="CQ41" i="106"/>
  <c r="CP41" i="106"/>
  <c r="CO41" i="106"/>
  <c r="FV40" i="106"/>
  <c r="FV39" i="106"/>
  <c r="FV38" i="106"/>
  <c r="FV37" i="106"/>
  <c r="FV36" i="106"/>
  <c r="FV35" i="106"/>
  <c r="FV34" i="106"/>
  <c r="D33" i="106"/>
  <c r="CE32" i="106"/>
  <c r="BW32" i="106"/>
  <c r="BA32" i="106"/>
  <c r="AY32" i="106"/>
  <c r="CB30" i="106"/>
  <c r="BH29" i="106"/>
  <c r="CE26" i="106"/>
  <c r="BY26" i="106"/>
  <c r="BX26" i="106"/>
  <c r="BH26" i="106"/>
  <c r="BG26" i="106"/>
  <c r="AK26" i="106"/>
  <c r="AJ26" i="106"/>
  <c r="AI26" i="106"/>
  <c r="S26" i="106"/>
  <c r="M26" i="106"/>
  <c r="L26" i="106"/>
  <c r="BD25" i="106"/>
  <c r="AN25" i="106"/>
  <c r="AG25" i="106"/>
  <c r="BY24" i="106"/>
  <c r="AK24" i="106"/>
  <c r="M24" i="106"/>
  <c r="F22" i="106"/>
  <c r="F21" i="106"/>
  <c r="F20" i="106"/>
  <c r="F19" i="106"/>
  <c r="F18" i="106"/>
  <c r="CH32" i="106"/>
  <c r="CG49" i="106"/>
  <c r="CF26" i="106"/>
  <c r="CE49" i="106"/>
  <c r="BW49" i="106"/>
  <c r="BI26" i="106"/>
  <c r="BA49" i="106"/>
  <c r="AY49" i="106"/>
  <c r="AS26" i="106"/>
  <c r="AR26" i="106"/>
  <c r="AQ49" i="106"/>
  <c r="AG32" i="106"/>
  <c r="U49" i="106"/>
  <c r="T26" i="106"/>
  <c r="S49" i="106"/>
  <c r="K49" i="106"/>
  <c r="I32" i="106"/>
  <c r="CH31" i="106"/>
  <c r="BO31" i="106"/>
  <c r="BM31" i="106"/>
  <c r="AR31" i="106"/>
  <c r="J48" i="106"/>
  <c r="CK30" i="106"/>
  <c r="CG24" i="106"/>
  <c r="BU30" i="106"/>
  <c r="BN20" i="106"/>
  <c r="BM30" i="106"/>
  <c r="Y30" i="106"/>
  <c r="Q30" i="106"/>
  <c r="I30" i="106"/>
  <c r="CH29" i="106"/>
  <c r="CF29" i="106"/>
  <c r="BR29" i="106"/>
  <c r="BQ29" i="106"/>
  <c r="BP29" i="106"/>
  <c r="BJ29" i="106"/>
  <c r="AZ29" i="106"/>
  <c r="AT29" i="106"/>
  <c r="AR29" i="106"/>
  <c r="AK46" i="106"/>
  <c r="AJ46" i="106"/>
  <c r="AD29" i="106"/>
  <c r="AB46" i="106"/>
  <c r="V21" i="106"/>
  <c r="T46" i="106"/>
  <c r="P20" i="106"/>
  <c r="N29" i="106"/>
  <c r="L46" i="106"/>
  <c r="CM11" i="106"/>
  <c r="CM10" i="106"/>
  <c r="CM9" i="106"/>
  <c r="CM8" i="106"/>
  <c r="CM7" i="106"/>
  <c r="CM6" i="106"/>
  <c r="CM5" i="106"/>
  <c r="CM4" i="106"/>
  <c r="CM3" i="106"/>
  <c r="CM2" i="106"/>
  <c r="E14" i="51"/>
  <c r="AN22" i="106" l="1"/>
  <c r="M20" i="106"/>
  <c r="T31" i="106"/>
  <c r="CM57" i="106"/>
  <c r="BV21" i="106"/>
  <c r="BH31" i="106"/>
  <c r="U20" i="106"/>
  <c r="BD22" i="106"/>
  <c r="AC46" i="106"/>
  <c r="M29" i="106"/>
  <c r="CB20" i="106"/>
  <c r="AV22" i="106"/>
  <c r="H20" i="106"/>
  <c r="P22" i="106"/>
  <c r="AH25" i="106"/>
  <c r="R48" i="106"/>
  <c r="AP31" i="106"/>
  <c r="BB21" i="106"/>
  <c r="AL24" i="106"/>
  <c r="BZ21" i="106"/>
  <c r="O47" i="106"/>
  <c r="CA47" i="106"/>
  <c r="BY21" i="106"/>
  <c r="BC47" i="106"/>
  <c r="AA21" i="106"/>
  <c r="AM30" i="106"/>
  <c r="BI20" i="106"/>
  <c r="AM21" i="106"/>
  <c r="W22" i="106"/>
  <c r="CM15" i="106"/>
  <c r="AZ21" i="106"/>
  <c r="AB20" i="106"/>
  <c r="BI21" i="106"/>
  <c r="AK22" i="106"/>
  <c r="Y21" i="106"/>
  <c r="BM20" i="106"/>
  <c r="BV20" i="106"/>
  <c r="BE22" i="106"/>
  <c r="BF48" i="106"/>
  <c r="BF20" i="106"/>
  <c r="R21" i="106"/>
  <c r="Z21" i="106"/>
  <c r="CA21" i="106"/>
  <c r="BK22" i="106"/>
  <c r="AE22" i="106"/>
  <c r="BW20" i="106"/>
  <c r="CE21" i="106"/>
  <c r="AU46" i="106"/>
  <c r="AU29" i="106"/>
  <c r="CI46" i="106"/>
  <c r="CI29" i="106"/>
  <c r="AP47" i="106"/>
  <c r="AP24" i="106"/>
  <c r="AP30" i="106"/>
  <c r="CD47" i="106"/>
  <c r="CD24" i="106"/>
  <c r="CD30" i="106"/>
  <c r="AS48" i="106"/>
  <c r="AS25" i="106"/>
  <c r="AS31" i="106"/>
  <c r="BY48" i="106"/>
  <c r="BY31" i="106"/>
  <c r="BY25" i="106"/>
  <c r="AF49" i="106"/>
  <c r="AF32" i="106"/>
  <c r="AF26" i="106"/>
  <c r="BL49" i="106"/>
  <c r="BL32" i="106"/>
  <c r="BL26" i="106"/>
  <c r="AK20" i="106"/>
  <c r="AU20" i="106"/>
  <c r="BD20" i="106"/>
  <c r="CD21" i="106"/>
  <c r="X46" i="106"/>
  <c r="X29" i="106"/>
  <c r="X21" i="106"/>
  <c r="BD46" i="106"/>
  <c r="BD29" i="106"/>
  <c r="BD21" i="106"/>
  <c r="CJ46" i="106"/>
  <c r="CJ29" i="106"/>
  <c r="CJ21" i="106"/>
  <c r="AI47" i="106"/>
  <c r="AI24" i="106"/>
  <c r="AI30" i="106"/>
  <c r="BO47" i="106"/>
  <c r="BO24" i="106"/>
  <c r="BO30" i="106"/>
  <c r="N48" i="106"/>
  <c r="N25" i="106"/>
  <c r="N31" i="106"/>
  <c r="AT48" i="106"/>
  <c r="AT25" i="106"/>
  <c r="AT31" i="106"/>
  <c r="BZ48" i="106"/>
  <c r="BZ25" i="106"/>
  <c r="BZ31" i="106"/>
  <c r="Y49" i="106"/>
  <c r="Y26" i="106"/>
  <c r="Y32" i="106"/>
  <c r="AW49" i="106"/>
  <c r="AW32" i="106"/>
  <c r="AW26" i="106"/>
  <c r="CC49" i="106"/>
  <c r="CC32" i="106"/>
  <c r="CC26" i="106"/>
  <c r="BE20" i="106"/>
  <c r="CF20" i="106"/>
  <c r="AR21" i="106"/>
  <c r="BJ21" i="106"/>
  <c r="Q22" i="106"/>
  <c r="AB22" i="106"/>
  <c r="AM22" i="106"/>
  <c r="CB22" i="106"/>
  <c r="T29" i="106"/>
  <c r="AL29" i="106"/>
  <c r="I46" i="106"/>
  <c r="I29" i="106"/>
  <c r="Q46" i="106"/>
  <c r="Q29" i="106"/>
  <c r="Y46" i="106"/>
  <c r="Y29" i="106"/>
  <c r="AG46" i="106"/>
  <c r="AG29" i="106"/>
  <c r="AO46" i="106"/>
  <c r="AO29" i="106"/>
  <c r="AW46" i="106"/>
  <c r="AW29" i="106"/>
  <c r="BE46" i="106"/>
  <c r="BE29" i="106"/>
  <c r="BM46" i="106"/>
  <c r="BM29" i="106"/>
  <c r="BM28" i="106" s="1"/>
  <c r="BU46" i="106"/>
  <c r="BU29" i="106"/>
  <c r="CC46" i="106"/>
  <c r="CC29" i="106"/>
  <c r="CK46" i="106"/>
  <c r="CK29" i="106"/>
  <c r="L47" i="106"/>
  <c r="L24" i="106"/>
  <c r="L30" i="106"/>
  <c r="T47" i="106"/>
  <c r="T24" i="106"/>
  <c r="T30" i="106"/>
  <c r="AB47" i="106"/>
  <c r="AB24" i="106"/>
  <c r="AB30" i="106"/>
  <c r="AJ47" i="106"/>
  <c r="AJ24" i="106"/>
  <c r="AJ30" i="106"/>
  <c r="AR47" i="106"/>
  <c r="AR24" i="106"/>
  <c r="AR30" i="106"/>
  <c r="AZ47" i="106"/>
  <c r="AZ24" i="106"/>
  <c r="AZ30" i="106"/>
  <c r="BH47" i="106"/>
  <c r="BH24" i="106"/>
  <c r="BH30" i="106"/>
  <c r="BP47" i="106"/>
  <c r="BP24" i="106"/>
  <c r="BP30" i="106"/>
  <c r="BX47" i="106"/>
  <c r="BX24" i="106"/>
  <c r="BX30" i="106"/>
  <c r="CF24" i="106"/>
  <c r="CF47" i="106"/>
  <c r="CF30" i="106"/>
  <c r="O48" i="106"/>
  <c r="O25" i="106"/>
  <c r="O31" i="106"/>
  <c r="W48" i="106"/>
  <c r="W25" i="106"/>
  <c r="W31" i="106"/>
  <c r="AE48" i="106"/>
  <c r="AE25" i="106"/>
  <c r="AE31" i="106"/>
  <c r="AM48" i="106"/>
  <c r="AM25" i="106"/>
  <c r="AM31" i="106"/>
  <c r="AU48" i="106"/>
  <c r="AU25" i="106"/>
  <c r="AU31" i="106"/>
  <c r="BC48" i="106"/>
  <c r="BC25" i="106"/>
  <c r="BC31" i="106"/>
  <c r="BK48" i="106"/>
  <c r="BK25" i="106"/>
  <c r="BK31" i="106"/>
  <c r="BS48" i="106"/>
  <c r="BS25" i="106"/>
  <c r="BS31" i="106"/>
  <c r="CA25" i="106"/>
  <c r="CA31" i="106"/>
  <c r="CA48" i="106"/>
  <c r="CI48" i="106"/>
  <c r="CI25" i="106"/>
  <c r="CI31" i="106"/>
  <c r="J49" i="106"/>
  <c r="J26" i="106"/>
  <c r="R49" i="106"/>
  <c r="R32" i="106"/>
  <c r="R26" i="106"/>
  <c r="Z49" i="106"/>
  <c r="Z26" i="106"/>
  <c r="Z32" i="106"/>
  <c r="AH49" i="106"/>
  <c r="AH26" i="106"/>
  <c r="AH32" i="106"/>
  <c r="AP26" i="106"/>
  <c r="AP49" i="106"/>
  <c r="AX49" i="106"/>
  <c r="AX32" i="106"/>
  <c r="AX26" i="106"/>
  <c r="BF26" i="106"/>
  <c r="BF49" i="106"/>
  <c r="BF32" i="106"/>
  <c r="BN49" i="106"/>
  <c r="BN26" i="106"/>
  <c r="BN32" i="106"/>
  <c r="BV49" i="106"/>
  <c r="BV26" i="106"/>
  <c r="CD49" i="106"/>
  <c r="CD32" i="106"/>
  <c r="CD26" i="106"/>
  <c r="CL49" i="106"/>
  <c r="CL26" i="106"/>
  <c r="CL32" i="106"/>
  <c r="N20" i="106"/>
  <c r="V20" i="106"/>
  <c r="AE20" i="106"/>
  <c r="AN20" i="106"/>
  <c r="AW20" i="106"/>
  <c r="CG20" i="106"/>
  <c r="I21" i="106"/>
  <c r="AJ21" i="106"/>
  <c r="AS21" i="106"/>
  <c r="BK21" i="106"/>
  <c r="CG21" i="106"/>
  <c r="H22" i="106"/>
  <c r="S22" i="106"/>
  <c r="AC22" i="106"/>
  <c r="CC22" i="106"/>
  <c r="AM24" i="106"/>
  <c r="R25" i="106"/>
  <c r="AQ26" i="106"/>
  <c r="U29" i="106"/>
  <c r="W30" i="106"/>
  <c r="CI30" i="106"/>
  <c r="BN31" i="106"/>
  <c r="O46" i="106"/>
  <c r="O29" i="106"/>
  <c r="BC46" i="106"/>
  <c r="BC29" i="106"/>
  <c r="J47" i="106"/>
  <c r="J24" i="106"/>
  <c r="J30" i="106"/>
  <c r="AH47" i="106"/>
  <c r="AH24" i="106"/>
  <c r="AH30" i="106"/>
  <c r="BV47" i="106"/>
  <c r="BV24" i="106"/>
  <c r="BV30" i="106"/>
  <c r="CL47" i="106"/>
  <c r="CL24" i="106"/>
  <c r="CL30" i="106"/>
  <c r="AK48" i="106"/>
  <c r="AK25" i="106"/>
  <c r="AK31" i="106"/>
  <c r="BA48" i="106"/>
  <c r="BA25" i="106"/>
  <c r="BA31" i="106"/>
  <c r="X49" i="106"/>
  <c r="X32" i="106"/>
  <c r="X26" i="106"/>
  <c r="BT49" i="106"/>
  <c r="BT32" i="106"/>
  <c r="BT26" i="106"/>
  <c r="CA22" i="106"/>
  <c r="BZ29" i="106"/>
  <c r="BE30" i="106"/>
  <c r="BR46" i="106"/>
  <c r="AF46" i="106"/>
  <c r="AF29" i="106"/>
  <c r="AF21" i="106"/>
  <c r="BL46" i="106"/>
  <c r="BL29" i="106"/>
  <c r="BL21" i="106"/>
  <c r="K47" i="106"/>
  <c r="K24" i="106"/>
  <c r="K30" i="106"/>
  <c r="AA47" i="106"/>
  <c r="AA24" i="106"/>
  <c r="AA30" i="106"/>
  <c r="BG47" i="106"/>
  <c r="BG24" i="106"/>
  <c r="BG30" i="106"/>
  <c r="CE47" i="106"/>
  <c r="CE24" i="106"/>
  <c r="CE30" i="106"/>
  <c r="AL48" i="106"/>
  <c r="AL25" i="106"/>
  <c r="AL31" i="106"/>
  <c r="BR48" i="106"/>
  <c r="BR25" i="106"/>
  <c r="BR31" i="106"/>
  <c r="Q49" i="106"/>
  <c r="Q32" i="106"/>
  <c r="Q26" i="106"/>
  <c r="AO49" i="106"/>
  <c r="AO26" i="106"/>
  <c r="BU49" i="106"/>
  <c r="BU26" i="106"/>
  <c r="AM20" i="106"/>
  <c r="Q21" i="106"/>
  <c r="AI21" i="106"/>
  <c r="BA21" i="106"/>
  <c r="BU21" i="106"/>
  <c r="BK30" i="106"/>
  <c r="J46" i="106"/>
  <c r="J29" i="106"/>
  <c r="J22" i="106"/>
  <c r="R46" i="106"/>
  <c r="R29" i="106"/>
  <c r="R22" i="106"/>
  <c r="Z46" i="106"/>
  <c r="Z29" i="106"/>
  <c r="Z22" i="106"/>
  <c r="AH46" i="106"/>
  <c r="AH29" i="106"/>
  <c r="AH22" i="106"/>
  <c r="AP46" i="106"/>
  <c r="AP29" i="106"/>
  <c r="AP22" i="106"/>
  <c r="AX46" i="106"/>
  <c r="AX29" i="106"/>
  <c r="AX22" i="106"/>
  <c r="BF46" i="106"/>
  <c r="BF29" i="106"/>
  <c r="BF22" i="106"/>
  <c r="BN46" i="106"/>
  <c r="BN29" i="106"/>
  <c r="BN22" i="106"/>
  <c r="BV46" i="106"/>
  <c r="BV29" i="106"/>
  <c r="BV22" i="106"/>
  <c r="CD46" i="106"/>
  <c r="CD29" i="106"/>
  <c r="CD22" i="106"/>
  <c r="CL46" i="106"/>
  <c r="CL29" i="106"/>
  <c r="CL22" i="106"/>
  <c r="M47" i="106"/>
  <c r="M30" i="106"/>
  <c r="U47" i="106"/>
  <c r="U30" i="106"/>
  <c r="AC47" i="106"/>
  <c r="AC30" i="106"/>
  <c r="AK47" i="106"/>
  <c r="AK30" i="106"/>
  <c r="AS47" i="106"/>
  <c r="AS30" i="106"/>
  <c r="BA47" i="106"/>
  <c r="BA30" i="106"/>
  <c r="BI47" i="106"/>
  <c r="BI30" i="106"/>
  <c r="BQ47" i="106"/>
  <c r="BQ30" i="106"/>
  <c r="BY47" i="106"/>
  <c r="BY30" i="106"/>
  <c r="CG47" i="106"/>
  <c r="CG30" i="106"/>
  <c r="H48" i="106"/>
  <c r="H31" i="106"/>
  <c r="P48" i="106"/>
  <c r="P31" i="106"/>
  <c r="X48" i="106"/>
  <c r="X31" i="106"/>
  <c r="AF48" i="106"/>
  <c r="AF31" i="106"/>
  <c r="AN48" i="106"/>
  <c r="AN31" i="106"/>
  <c r="AV48" i="106"/>
  <c r="AV31" i="106"/>
  <c r="BD48" i="106"/>
  <c r="BD31" i="106"/>
  <c r="BL48" i="106"/>
  <c r="BL31" i="106"/>
  <c r="BT48" i="106"/>
  <c r="BT31" i="106"/>
  <c r="CB48" i="106"/>
  <c r="CB31" i="106"/>
  <c r="CJ48" i="106"/>
  <c r="CJ31" i="106"/>
  <c r="AA49" i="106"/>
  <c r="AA32" i="106"/>
  <c r="AI49" i="106"/>
  <c r="AI32" i="106"/>
  <c r="BG49" i="106"/>
  <c r="BG32" i="106"/>
  <c r="BO49" i="106"/>
  <c r="BO32" i="106"/>
  <c r="O20" i="106"/>
  <c r="W20" i="106"/>
  <c r="AF20" i="106"/>
  <c r="AO20" i="106"/>
  <c r="AX20" i="106"/>
  <c r="BP20" i="106"/>
  <c r="BY20" i="106"/>
  <c r="CI20" i="106"/>
  <c r="J21" i="106"/>
  <c r="AB21" i="106"/>
  <c r="AK21" i="106"/>
  <c r="AT21" i="106"/>
  <c r="BC21" i="106"/>
  <c r="BM21" i="106"/>
  <c r="CH21" i="106"/>
  <c r="I22" i="106"/>
  <c r="T22" i="106"/>
  <c r="AO22" i="106"/>
  <c r="BL22" i="106"/>
  <c r="CI22" i="106"/>
  <c r="AS24" i="106"/>
  <c r="BK24" i="106"/>
  <c r="X25" i="106"/>
  <c r="AP25" i="106"/>
  <c r="BM25" i="106"/>
  <c r="CJ25" i="106"/>
  <c r="U26" i="106"/>
  <c r="BO26" i="106"/>
  <c r="CG26" i="106"/>
  <c r="V29" i="106"/>
  <c r="AU30" i="106"/>
  <c r="Z31" i="106"/>
  <c r="BK46" i="106"/>
  <c r="BK29" i="106"/>
  <c r="BK28" i="106" s="1"/>
  <c r="AX47" i="106"/>
  <c r="AX24" i="106"/>
  <c r="AX30" i="106"/>
  <c r="CG48" i="106"/>
  <c r="CG31" i="106"/>
  <c r="CG25" i="106"/>
  <c r="BD49" i="106"/>
  <c r="BD32" i="106"/>
  <c r="BD26" i="106"/>
  <c r="AH21" i="106"/>
  <c r="K46" i="106"/>
  <c r="K29" i="106"/>
  <c r="S46" i="106"/>
  <c r="S29" i="106"/>
  <c r="AA46" i="106"/>
  <c r="AA29" i="106"/>
  <c r="AI46" i="106"/>
  <c r="AI29" i="106"/>
  <c r="AQ46" i="106"/>
  <c r="AQ29" i="106"/>
  <c r="AQ22" i="106"/>
  <c r="AY46" i="106"/>
  <c r="AY29" i="106"/>
  <c r="AY22" i="106"/>
  <c r="BG46" i="106"/>
  <c r="BG29" i="106"/>
  <c r="BG22" i="106"/>
  <c r="BO46" i="106"/>
  <c r="BO29" i="106"/>
  <c r="BO22" i="106"/>
  <c r="BW46" i="106"/>
  <c r="BW29" i="106"/>
  <c r="BW22" i="106"/>
  <c r="CE46" i="106"/>
  <c r="CE29" i="106"/>
  <c r="CE22" i="106"/>
  <c r="CM12" i="106"/>
  <c r="N47" i="106"/>
  <c r="N30" i="106"/>
  <c r="V47" i="106"/>
  <c r="V30" i="106"/>
  <c r="AD47" i="106"/>
  <c r="AD30" i="106"/>
  <c r="AL30" i="106"/>
  <c r="AL47" i="106"/>
  <c r="AT47" i="106"/>
  <c r="AT30" i="106"/>
  <c r="BB47" i="106"/>
  <c r="BB30" i="106"/>
  <c r="BJ47" i="106"/>
  <c r="BJ30" i="106"/>
  <c r="BR47" i="106"/>
  <c r="BR30" i="106"/>
  <c r="BZ47" i="106"/>
  <c r="BZ30" i="106"/>
  <c r="CH47" i="106"/>
  <c r="CH30" i="106"/>
  <c r="CH28" i="106" s="1"/>
  <c r="I48" i="106"/>
  <c r="I31" i="106"/>
  <c r="Q48" i="106"/>
  <c r="Q31" i="106"/>
  <c r="Y48" i="106"/>
  <c r="Y31" i="106"/>
  <c r="AG48" i="106"/>
  <c r="AG31" i="106"/>
  <c r="AO48" i="106"/>
  <c r="AO31" i="106"/>
  <c r="AW48" i="106"/>
  <c r="AW31" i="106"/>
  <c r="BE48" i="106"/>
  <c r="BE31" i="106"/>
  <c r="BU48" i="106"/>
  <c r="BU31" i="106"/>
  <c r="CC48" i="106"/>
  <c r="CC31" i="106"/>
  <c r="CK48" i="106"/>
  <c r="CK31" i="106"/>
  <c r="L32" i="106"/>
  <c r="L49" i="106"/>
  <c r="T49" i="106"/>
  <c r="T32" i="106"/>
  <c r="AB49" i="106"/>
  <c r="AB32" i="106"/>
  <c r="AJ49" i="106"/>
  <c r="AJ32" i="106"/>
  <c r="AR32" i="106"/>
  <c r="AR49" i="106"/>
  <c r="AZ49" i="106"/>
  <c r="AZ32" i="106"/>
  <c r="BH32" i="106"/>
  <c r="BH49" i="106"/>
  <c r="BP49" i="106"/>
  <c r="BP32" i="106"/>
  <c r="BX32" i="106"/>
  <c r="BX49" i="106"/>
  <c r="CF49" i="106"/>
  <c r="CF32" i="106"/>
  <c r="X20" i="106"/>
  <c r="AG20" i="106"/>
  <c r="AP20" i="106"/>
  <c r="AY20" i="106"/>
  <c r="BQ20" i="106"/>
  <c r="CA20" i="106"/>
  <c r="CJ20" i="106"/>
  <c r="K21" i="106"/>
  <c r="T21" i="106"/>
  <c r="AC21" i="106"/>
  <c r="AU21" i="106"/>
  <c r="BE21" i="106"/>
  <c r="BN21" i="106"/>
  <c r="CI21" i="106"/>
  <c r="K22" i="106"/>
  <c r="U22" i="106"/>
  <c r="AF22" i="106"/>
  <c r="AU22" i="106"/>
  <c r="BM22" i="106"/>
  <c r="CJ22" i="106"/>
  <c r="W24" i="106"/>
  <c r="AT24" i="106"/>
  <c r="BQ24" i="106"/>
  <c r="CI24" i="106"/>
  <c r="Y25" i="106"/>
  <c r="AV25" i="106"/>
  <c r="BN25" i="106"/>
  <c r="CK25" i="106"/>
  <c r="AA26" i="106"/>
  <c r="BP26" i="106"/>
  <c r="AB29" i="106"/>
  <c r="BS30" i="106"/>
  <c r="AX31" i="106"/>
  <c r="J32" i="106"/>
  <c r="AO32" i="106"/>
  <c r="AE46" i="106"/>
  <c r="AE29" i="106"/>
  <c r="BS46" i="106"/>
  <c r="BS29" i="106"/>
  <c r="R47" i="106"/>
  <c r="R24" i="106"/>
  <c r="R30" i="106"/>
  <c r="BF47" i="106"/>
  <c r="BF24" i="106"/>
  <c r="BF30" i="106"/>
  <c r="U48" i="106"/>
  <c r="U25" i="106"/>
  <c r="U31" i="106"/>
  <c r="BI48" i="106"/>
  <c r="BI25" i="106"/>
  <c r="BI31" i="106"/>
  <c r="P49" i="106"/>
  <c r="P32" i="106"/>
  <c r="P26" i="106"/>
  <c r="AV49" i="106"/>
  <c r="AV32" i="106"/>
  <c r="AV26" i="106"/>
  <c r="CJ49" i="106"/>
  <c r="CJ32" i="106"/>
  <c r="CJ26" i="106"/>
  <c r="O21" i="106"/>
  <c r="H46" i="106"/>
  <c r="H29" i="106"/>
  <c r="H21" i="106"/>
  <c r="AN46" i="106"/>
  <c r="AN29" i="106"/>
  <c r="AN21" i="106"/>
  <c r="BT46" i="106"/>
  <c r="BT29" i="106"/>
  <c r="BT21" i="106"/>
  <c r="S47" i="106"/>
  <c r="S24" i="106"/>
  <c r="S30" i="106"/>
  <c r="AY47" i="106"/>
  <c r="AY24" i="106"/>
  <c r="AY30" i="106"/>
  <c r="BW47" i="106"/>
  <c r="BW24" i="106"/>
  <c r="BW30" i="106"/>
  <c r="V48" i="106"/>
  <c r="V25" i="106"/>
  <c r="V31" i="106"/>
  <c r="BB48" i="106"/>
  <c r="BB25" i="106"/>
  <c r="BB31" i="106"/>
  <c r="CH48" i="106"/>
  <c r="CH25" i="106"/>
  <c r="AG49" i="106"/>
  <c r="AG26" i="106"/>
  <c r="BM49" i="106"/>
  <c r="BM26" i="106"/>
  <c r="AV20" i="106"/>
  <c r="AR46" i="106"/>
  <c r="AR22" i="106"/>
  <c r="BH46" i="106"/>
  <c r="BH22" i="106"/>
  <c r="BP46" i="106"/>
  <c r="BP21" i="106"/>
  <c r="BP22" i="106"/>
  <c r="BX46" i="106"/>
  <c r="BX21" i="106"/>
  <c r="BX22" i="106"/>
  <c r="CF46" i="106"/>
  <c r="CF21" i="106"/>
  <c r="CF22" i="106"/>
  <c r="CD48" i="106"/>
  <c r="CD31" i="106"/>
  <c r="BQ49" i="106"/>
  <c r="BQ32" i="106"/>
  <c r="I20" i="106"/>
  <c r="Q20" i="106"/>
  <c r="Y20" i="106"/>
  <c r="AH20" i="106"/>
  <c r="AQ20" i="106"/>
  <c r="AZ20" i="106"/>
  <c r="BS20" i="106"/>
  <c r="CK20" i="106"/>
  <c r="L21" i="106"/>
  <c r="U21" i="106"/>
  <c r="AD21" i="106"/>
  <c r="AW21" i="106"/>
  <c r="BF21" i="106"/>
  <c r="BO21" i="106"/>
  <c r="CK21" i="106"/>
  <c r="L22" i="106"/>
  <c r="AG22" i="106"/>
  <c r="BS22" i="106"/>
  <c r="CK22" i="106"/>
  <c r="AC24" i="106"/>
  <c r="AU24" i="106"/>
  <c r="BR24" i="106"/>
  <c r="H25" i="106"/>
  <c r="Z25" i="106"/>
  <c r="AW25" i="106"/>
  <c r="BT25" i="106"/>
  <c r="AB26" i="106"/>
  <c r="AY26" i="106"/>
  <c r="BQ26" i="106"/>
  <c r="AC29" i="106"/>
  <c r="AE30" i="106"/>
  <c r="J31" i="106"/>
  <c r="BV31" i="106"/>
  <c r="K32" i="106"/>
  <c r="AP32" i="106"/>
  <c r="BU32" i="106"/>
  <c r="AM46" i="106"/>
  <c r="AM29" i="106"/>
  <c r="M48" i="106"/>
  <c r="M25" i="106"/>
  <c r="M31" i="106"/>
  <c r="BS21" i="106"/>
  <c r="P46" i="106"/>
  <c r="P29" i="106"/>
  <c r="P21" i="106"/>
  <c r="AV46" i="106"/>
  <c r="AV29" i="106"/>
  <c r="AV21" i="106"/>
  <c r="CB46" i="106"/>
  <c r="CB29" i="106"/>
  <c r="CB21" i="106"/>
  <c r="AQ47" i="106"/>
  <c r="AQ24" i="106"/>
  <c r="AQ30" i="106"/>
  <c r="CM13" i="106"/>
  <c r="AD48" i="106"/>
  <c r="AD25" i="106"/>
  <c r="AD31" i="106"/>
  <c r="BJ48" i="106"/>
  <c r="BJ25" i="106"/>
  <c r="BJ31" i="106"/>
  <c r="I49" i="106"/>
  <c r="I26" i="106"/>
  <c r="BE49" i="106"/>
  <c r="BE26" i="106"/>
  <c r="BE32" i="106"/>
  <c r="CK49" i="106"/>
  <c r="CK26" i="106"/>
  <c r="CK32" i="106"/>
  <c r="AZ46" i="106"/>
  <c r="AZ22" i="106"/>
  <c r="CL48" i="106"/>
  <c r="CL31" i="106"/>
  <c r="M49" i="106"/>
  <c r="M32" i="106"/>
  <c r="AC49" i="106"/>
  <c r="AC32" i="106"/>
  <c r="AK49" i="106"/>
  <c r="AK32" i="106"/>
  <c r="AS49" i="106"/>
  <c r="AS32" i="106"/>
  <c r="BI49" i="106"/>
  <c r="BI32" i="106"/>
  <c r="BY49" i="106"/>
  <c r="BY32" i="106"/>
  <c r="AS46" i="106"/>
  <c r="AS22" i="106"/>
  <c r="BA46" i="106"/>
  <c r="BA22" i="106"/>
  <c r="BI46" i="106"/>
  <c r="BI22" i="106"/>
  <c r="BQ46" i="106"/>
  <c r="BQ22" i="106"/>
  <c r="BY46" i="106"/>
  <c r="BY22" i="106"/>
  <c r="CG46" i="106"/>
  <c r="CG22" i="106"/>
  <c r="H47" i="106"/>
  <c r="H24" i="106"/>
  <c r="P47" i="106"/>
  <c r="P24" i="106"/>
  <c r="X47" i="106"/>
  <c r="X24" i="106"/>
  <c r="AF47" i="106"/>
  <c r="AF24" i="106"/>
  <c r="AN47" i="106"/>
  <c r="AN24" i="106"/>
  <c r="AV47" i="106"/>
  <c r="AV24" i="106"/>
  <c r="BD47" i="106"/>
  <c r="BD24" i="106"/>
  <c r="BL47" i="106"/>
  <c r="BL24" i="106"/>
  <c r="BT47" i="106"/>
  <c r="BT24" i="106"/>
  <c r="CB47" i="106"/>
  <c r="CB24" i="106"/>
  <c r="CJ47" i="106"/>
  <c r="CJ24" i="106"/>
  <c r="K48" i="106"/>
  <c r="K25" i="106"/>
  <c r="S48" i="106"/>
  <c r="S25" i="106"/>
  <c r="AA48" i="106"/>
  <c r="AA25" i="106"/>
  <c r="AI48" i="106"/>
  <c r="AI25" i="106"/>
  <c r="AQ48" i="106"/>
  <c r="AQ25" i="106"/>
  <c r="AY48" i="106"/>
  <c r="AY25" i="106"/>
  <c r="BG48" i="106"/>
  <c r="BG25" i="106"/>
  <c r="BO48" i="106"/>
  <c r="BO25" i="106"/>
  <c r="BW48" i="106"/>
  <c r="BW25" i="106"/>
  <c r="CE48" i="106"/>
  <c r="CE25" i="106"/>
  <c r="N49" i="106"/>
  <c r="N32" i="106"/>
  <c r="N26" i="106"/>
  <c r="V49" i="106"/>
  <c r="V26" i="106"/>
  <c r="AD49" i="106"/>
  <c r="AD26" i="106"/>
  <c r="AL49" i="106"/>
  <c r="AL32" i="106"/>
  <c r="AL26" i="106"/>
  <c r="AT49" i="106"/>
  <c r="AT32" i="106"/>
  <c r="AT26" i="106"/>
  <c r="BB49" i="106"/>
  <c r="BB26" i="106"/>
  <c r="BJ49" i="106"/>
  <c r="BJ26" i="106"/>
  <c r="BR49" i="106"/>
  <c r="BR32" i="106"/>
  <c r="BR26" i="106"/>
  <c r="BZ49" i="106"/>
  <c r="BZ32" i="106"/>
  <c r="BZ26" i="106"/>
  <c r="CH49" i="106"/>
  <c r="CH26" i="106"/>
  <c r="J20" i="106"/>
  <c r="R20" i="106"/>
  <c r="Z20" i="106"/>
  <c r="AI20" i="106"/>
  <c r="AR20" i="106"/>
  <c r="BA20" i="106"/>
  <c r="BK20" i="106"/>
  <c r="BT20" i="106"/>
  <c r="CC20" i="106"/>
  <c r="CL20" i="106"/>
  <c r="M21" i="106"/>
  <c r="AE21" i="106"/>
  <c r="AO21" i="106"/>
  <c r="AX21" i="106"/>
  <c r="BG21" i="106"/>
  <c r="BQ21" i="106"/>
  <c r="CL21" i="106"/>
  <c r="M22" i="106"/>
  <c r="X22" i="106"/>
  <c r="AI22" i="106"/>
  <c r="AW22" i="106"/>
  <c r="BT22" i="106"/>
  <c r="AD24" i="106"/>
  <c r="BA24" i="106"/>
  <c r="BS24" i="106"/>
  <c r="I25" i="106"/>
  <c r="AF25" i="106"/>
  <c r="AX25" i="106"/>
  <c r="BU25" i="106"/>
  <c r="K26" i="106"/>
  <c r="AC26" i="106"/>
  <c r="AZ26" i="106"/>
  <c r="BW26" i="106"/>
  <c r="L29" i="106"/>
  <c r="BA29" i="106"/>
  <c r="BA28" i="106" s="1"/>
  <c r="BX29" i="106"/>
  <c r="AF30" i="106"/>
  <c r="BC30" i="106"/>
  <c r="K31" i="106"/>
  <c r="AH31" i="106"/>
  <c r="BW31" i="106"/>
  <c r="S32" i="106"/>
  <c r="AQ32" i="106"/>
  <c r="BV32" i="106"/>
  <c r="W46" i="106"/>
  <c r="W29" i="106"/>
  <c r="CA46" i="106"/>
  <c r="CA29" i="106"/>
  <c r="Z47" i="106"/>
  <c r="Z24" i="106"/>
  <c r="Z30" i="106"/>
  <c r="BN47" i="106"/>
  <c r="BN24" i="106"/>
  <c r="BN30" i="106"/>
  <c r="AC48" i="106"/>
  <c r="AC25" i="106"/>
  <c r="AC31" i="106"/>
  <c r="BQ48" i="106"/>
  <c r="BQ25" i="106"/>
  <c r="BQ31" i="106"/>
  <c r="H49" i="106"/>
  <c r="H32" i="106"/>
  <c r="H26" i="106"/>
  <c r="AN49" i="106"/>
  <c r="AN32" i="106"/>
  <c r="AN26" i="106"/>
  <c r="CB49" i="106"/>
  <c r="CB32" i="106"/>
  <c r="CB26" i="106"/>
  <c r="N46" i="106"/>
  <c r="N22" i="106"/>
  <c r="V46" i="106"/>
  <c r="V22" i="106"/>
  <c r="AD46" i="106"/>
  <c r="AD22" i="106"/>
  <c r="AD20" i="106"/>
  <c r="AL46" i="106"/>
  <c r="AL22" i="106"/>
  <c r="AL20" i="106"/>
  <c r="AT46" i="106"/>
  <c r="AT22" i="106"/>
  <c r="AT20" i="106"/>
  <c r="BB46" i="106"/>
  <c r="BB22" i="106"/>
  <c r="BB20" i="106"/>
  <c r="BJ46" i="106"/>
  <c r="BJ22" i="106"/>
  <c r="BJ20" i="106"/>
  <c r="BR22" i="106"/>
  <c r="BR20" i="106"/>
  <c r="BZ46" i="106"/>
  <c r="BZ22" i="106"/>
  <c r="BZ20" i="106"/>
  <c r="CH46" i="106"/>
  <c r="CH22" i="106"/>
  <c r="CH20" i="106"/>
  <c r="I47" i="106"/>
  <c r="I24" i="106"/>
  <c r="Q47" i="106"/>
  <c r="Q24" i="106"/>
  <c r="Y47" i="106"/>
  <c r="Y24" i="106"/>
  <c r="AG47" i="106"/>
  <c r="AG24" i="106"/>
  <c r="AO47" i="106"/>
  <c r="AO24" i="106"/>
  <c r="AW47" i="106"/>
  <c r="AW24" i="106"/>
  <c r="BE47" i="106"/>
  <c r="BE24" i="106"/>
  <c r="BM47" i="106"/>
  <c r="BM24" i="106"/>
  <c r="BU47" i="106"/>
  <c r="BU24" i="106"/>
  <c r="CC47" i="106"/>
  <c r="CC24" i="106"/>
  <c r="CK47" i="106"/>
  <c r="CK24" i="106"/>
  <c r="L48" i="106"/>
  <c r="L25" i="106"/>
  <c r="T48" i="106"/>
  <c r="T25" i="106"/>
  <c r="AB48" i="106"/>
  <c r="AB25" i="106"/>
  <c r="AJ48" i="106"/>
  <c r="AJ25" i="106"/>
  <c r="AR48" i="106"/>
  <c r="AR25" i="106"/>
  <c r="AZ48" i="106"/>
  <c r="AZ25" i="106"/>
  <c r="BH48" i="106"/>
  <c r="BH25" i="106"/>
  <c r="BP48" i="106"/>
  <c r="BP25" i="106"/>
  <c r="BX48" i="106"/>
  <c r="BX25" i="106"/>
  <c r="CF48" i="106"/>
  <c r="CF25" i="106"/>
  <c r="O49" i="106"/>
  <c r="O32" i="106"/>
  <c r="O26" i="106"/>
  <c r="W49" i="106"/>
  <c r="W26" i="106"/>
  <c r="W32" i="106"/>
  <c r="AE49" i="106"/>
  <c r="AE26" i="106"/>
  <c r="AM49" i="106"/>
  <c r="AM32" i="106"/>
  <c r="AM26" i="106"/>
  <c r="AU49" i="106"/>
  <c r="AU32" i="106"/>
  <c r="AU26" i="106"/>
  <c r="BC49" i="106"/>
  <c r="BC26" i="106"/>
  <c r="BC32" i="106"/>
  <c r="BK49" i="106"/>
  <c r="BK26" i="106"/>
  <c r="BS49" i="106"/>
  <c r="BS32" i="106"/>
  <c r="BS26" i="106"/>
  <c r="CA49" i="106"/>
  <c r="CA32" i="106"/>
  <c r="CA26" i="106"/>
  <c r="CI49" i="106"/>
  <c r="CI26" i="106"/>
  <c r="CI32" i="106"/>
  <c r="K20" i="106"/>
  <c r="S20" i="106"/>
  <c r="AA20" i="106"/>
  <c r="AJ20" i="106"/>
  <c r="AS20" i="106"/>
  <c r="BC20" i="106"/>
  <c r="BL20" i="106"/>
  <c r="BU20" i="106"/>
  <c r="CD20" i="106"/>
  <c r="N21" i="106"/>
  <c r="W21" i="106"/>
  <c r="AG21" i="106"/>
  <c r="AP21" i="106"/>
  <c r="AY21" i="106"/>
  <c r="BH21" i="106"/>
  <c r="BR21" i="106"/>
  <c r="CC21" i="106"/>
  <c r="O22" i="106"/>
  <c r="Y22" i="106"/>
  <c r="AJ22" i="106"/>
  <c r="BC22" i="106"/>
  <c r="BU22" i="106"/>
  <c r="AE24" i="106"/>
  <c r="J25" i="106"/>
  <c r="BV25" i="106"/>
  <c r="BA26" i="106"/>
  <c r="M28" i="106"/>
  <c r="AJ29" i="106"/>
  <c r="BB29" i="106"/>
  <c r="BB28" i="106" s="1"/>
  <c r="O30" i="106"/>
  <c r="AG30" i="106"/>
  <c r="CA30" i="106"/>
  <c r="L31" i="106"/>
  <c r="BF31" i="106"/>
  <c r="BX31" i="106"/>
  <c r="U32" i="106"/>
  <c r="FV41" i="106"/>
  <c r="AJ28" i="106" l="1"/>
  <c r="CM26" i="106"/>
  <c r="CM21" i="106"/>
  <c r="CM32" i="106"/>
  <c r="CM49" i="106"/>
  <c r="CM24" i="106"/>
  <c r="CM20" i="106"/>
  <c r="BR28" i="106"/>
  <c r="CM47" i="106"/>
  <c r="AZ28" i="106"/>
  <c r="CM31" i="106"/>
  <c r="CM29" i="106"/>
  <c r="CM25" i="106"/>
  <c r="CM46" i="106"/>
  <c r="CM22" i="106"/>
  <c r="AF28" i="106"/>
  <c r="CM48" i="106"/>
  <c r="N28" i="106"/>
  <c r="CM30" i="106"/>
  <c r="BP28" i="106"/>
  <c r="CK28" i="106"/>
  <c r="AS28" i="106"/>
  <c r="AR28" i="106"/>
  <c r="AI28" i="106"/>
  <c r="CF28" i="106"/>
  <c r="BQ28" i="106"/>
  <c r="AK28" i="106"/>
  <c r="BH28" i="106"/>
  <c r="BD28" i="106"/>
  <c r="AT28" i="106"/>
  <c r="H28" i="106"/>
  <c r="BT28" i="106"/>
  <c r="CG28" i="106"/>
  <c r="Y28" i="106"/>
  <c r="L28" i="106"/>
  <c r="AV28" i="106"/>
  <c r="BJ28" i="106"/>
  <c r="AD28" i="106"/>
  <c r="U28" i="106"/>
  <c r="BO28" i="106"/>
  <c r="AL28" i="106"/>
  <c r="CE28" i="106"/>
  <c r="BE28" i="106"/>
  <c r="BY28" i="106"/>
  <c r="AE28" i="106"/>
  <c r="AX28" i="106"/>
  <c r="BI28" i="106"/>
  <c r="AA28" i="106"/>
  <c r="CL28" i="106"/>
  <c r="BN28" i="106"/>
  <c r="T28" i="106"/>
  <c r="CA28" i="106"/>
  <c r="P28" i="106"/>
  <c r="AC28" i="106"/>
  <c r="BW28" i="106"/>
  <c r="AP28" i="106"/>
  <c r="CC28" i="106"/>
  <c r="AW28" i="106"/>
  <c r="Q28" i="106"/>
  <c r="X28" i="106"/>
  <c r="AM28" i="106"/>
  <c r="AB28" i="106"/>
  <c r="AY28" i="106"/>
  <c r="CD28" i="106"/>
  <c r="R28" i="106"/>
  <c r="CI28" i="106"/>
  <c r="Z28" i="106"/>
  <c r="W28" i="106"/>
  <c r="CB28" i="106"/>
  <c r="AN28" i="106"/>
  <c r="S28" i="106"/>
  <c r="BF28" i="106"/>
  <c r="BL28" i="106"/>
  <c r="BZ28" i="106"/>
  <c r="BC28" i="106"/>
  <c r="BU28" i="106"/>
  <c r="AO28" i="106"/>
  <c r="I28" i="106"/>
  <c r="CJ28" i="106"/>
  <c r="AH28" i="106"/>
  <c r="AU28" i="106"/>
  <c r="BG28" i="106"/>
  <c r="BX28" i="106"/>
  <c r="BS28" i="106"/>
  <c r="AQ28" i="106"/>
  <c r="K28" i="106"/>
  <c r="V28" i="106"/>
  <c r="BV28" i="106"/>
  <c r="J28" i="106"/>
  <c r="O28" i="106"/>
  <c r="AG28" i="106"/>
  <c r="CM28" i="106" l="1"/>
  <c r="Z56" i="105" l="1"/>
  <c r="Y56" i="105"/>
  <c r="X56" i="105"/>
  <c r="W56" i="105"/>
  <c r="V56" i="105"/>
  <c r="U56" i="105"/>
  <c r="T56" i="105"/>
  <c r="S56" i="105"/>
  <c r="R56" i="105"/>
  <c r="Q56" i="105"/>
  <c r="P56" i="105"/>
  <c r="O56" i="105"/>
  <c r="N56" i="105"/>
  <c r="M56" i="105"/>
  <c r="L56" i="105"/>
  <c r="K56" i="105"/>
  <c r="J56" i="105"/>
  <c r="I56" i="105"/>
  <c r="H56" i="105"/>
  <c r="Z55" i="105"/>
  <c r="Z60" i="105" s="1"/>
  <c r="Y55" i="105"/>
  <c r="Y60" i="105" s="1"/>
  <c r="X55" i="105"/>
  <c r="X60" i="105" s="1"/>
  <c r="W55" i="105"/>
  <c r="V55" i="105"/>
  <c r="V60" i="105" s="1"/>
  <c r="U55" i="105"/>
  <c r="T55" i="105"/>
  <c r="T60" i="105" s="1"/>
  <c r="S55" i="105"/>
  <c r="R55" i="105"/>
  <c r="R60" i="105" s="1"/>
  <c r="Q55" i="105"/>
  <c r="Q60" i="105" s="1"/>
  <c r="P55" i="105"/>
  <c r="P60" i="105" s="1"/>
  <c r="O55" i="105"/>
  <c r="N55" i="105"/>
  <c r="N60" i="105" s="1"/>
  <c r="M55" i="105"/>
  <c r="L55" i="105"/>
  <c r="K55" i="105"/>
  <c r="J55" i="105"/>
  <c r="J60" i="105" s="1"/>
  <c r="I55" i="105"/>
  <c r="I60" i="105" s="1"/>
  <c r="H55" i="105"/>
  <c r="H33" i="105"/>
  <c r="I33" i="105" s="1"/>
  <c r="J33" i="105" s="1"/>
  <c r="K33" i="105" s="1"/>
  <c r="L33" i="105" s="1"/>
  <c r="M33" i="105" s="1"/>
  <c r="N33" i="105" s="1"/>
  <c r="O33" i="105" s="1"/>
  <c r="P33" i="105" s="1"/>
  <c r="Q33" i="105" s="1"/>
  <c r="R33" i="105" s="1"/>
  <c r="S33" i="105" s="1"/>
  <c r="T33" i="105" s="1"/>
  <c r="U33" i="105" s="1"/>
  <c r="V33" i="105" s="1"/>
  <c r="W33" i="105" s="1"/>
  <c r="X33" i="105" s="1"/>
  <c r="Y33" i="105" s="1"/>
  <c r="Z33" i="105" s="1"/>
  <c r="H23" i="105"/>
  <c r="F9" i="105"/>
  <c r="E9" i="105"/>
  <c r="D9" i="105"/>
  <c r="C9" i="105"/>
  <c r="A1" i="105"/>
  <c r="K6" i="82"/>
  <c r="J6" i="82"/>
  <c r="I6" i="82"/>
  <c r="H6" i="82"/>
  <c r="G6" i="82"/>
  <c r="F6" i="82"/>
  <c r="E6" i="82"/>
  <c r="D6" i="82"/>
  <c r="C6" i="82"/>
  <c r="B6" i="82"/>
  <c r="K10" i="82"/>
  <c r="J10" i="82"/>
  <c r="I10" i="82"/>
  <c r="H10" i="82"/>
  <c r="G10" i="82"/>
  <c r="F10" i="82"/>
  <c r="F11" i="82" s="1"/>
  <c r="E10" i="82"/>
  <c r="D10" i="82"/>
  <c r="C10" i="82"/>
  <c r="B10" i="82"/>
  <c r="B17" i="82"/>
  <c r="F5" i="100"/>
  <c r="F6" i="100"/>
  <c r="F4" i="100"/>
  <c r="K17" i="82"/>
  <c r="J17" i="82"/>
  <c r="I17" i="82"/>
  <c r="H17" i="82"/>
  <c r="G17" i="82"/>
  <c r="F17" i="82"/>
  <c r="E17" i="82"/>
  <c r="D17" i="82"/>
  <c r="D18" i="82" s="1"/>
  <c r="C17" i="82"/>
  <c r="O8" i="47"/>
  <c r="N8" i="47"/>
  <c r="B18" i="82" s="1"/>
  <c r="K8" i="47"/>
  <c r="J8" i="47"/>
  <c r="K11" i="82" s="1"/>
  <c r="D11" i="82" l="1"/>
  <c r="O60" i="105"/>
  <c r="W60" i="105"/>
  <c r="H60" i="105"/>
  <c r="E11" i="82"/>
  <c r="G11" i="82"/>
  <c r="H11" i="82"/>
  <c r="I11" i="82"/>
  <c r="K60" i="105"/>
  <c r="S60" i="105"/>
  <c r="K18" i="82"/>
  <c r="B11" i="82"/>
  <c r="J11" i="82"/>
  <c r="C11" i="82"/>
  <c r="M60" i="105"/>
  <c r="U60" i="105"/>
  <c r="H18" i="82"/>
  <c r="F18" i="82"/>
  <c r="G18" i="82"/>
  <c r="E18" i="82"/>
  <c r="I18" i="82"/>
  <c r="J18" i="82"/>
  <c r="C18" i="82"/>
  <c r="L60" i="105"/>
  <c r="O14" i="47"/>
  <c r="G18" i="106" s="1"/>
  <c r="O15" i="47"/>
  <c r="G19" i="106" s="1"/>
  <c r="O16" i="47"/>
  <c r="O17" i="47"/>
  <c r="O18" i="47"/>
  <c r="O19" i="47"/>
  <c r="O12" i="47"/>
  <c r="G17" i="106" s="1"/>
  <c r="G66" i="106" s="1"/>
  <c r="O20" i="47"/>
  <c r="O13" i="47"/>
  <c r="O11" i="47"/>
  <c r="G16" i="106" s="1"/>
  <c r="G27" i="106" l="1"/>
  <c r="G37" i="106"/>
  <c r="G45" i="106"/>
  <c r="G63" i="106" s="1"/>
  <c r="G38" i="106"/>
  <c r="G36" i="106"/>
  <c r="G39" i="106"/>
  <c r="G40" i="106"/>
  <c r="G44" i="106"/>
  <c r="G64" i="106" s="1"/>
  <c r="G23" i="106"/>
  <c r="G55" i="106" s="1"/>
  <c r="G34" i="106"/>
  <c r="G42" i="106"/>
  <c r="G60" i="106" s="1"/>
  <c r="G35" i="106"/>
  <c r="G43" i="106"/>
  <c r="G61" i="106" s="1"/>
  <c r="G54" i="106"/>
  <c r="I19" i="106"/>
  <c r="Q19" i="106"/>
  <c r="Y19" i="106"/>
  <c r="AG19" i="106"/>
  <c r="AO19" i="106"/>
  <c r="AW19" i="106"/>
  <c r="BE19" i="106"/>
  <c r="BM19" i="106"/>
  <c r="BU19" i="106"/>
  <c r="CC19" i="106"/>
  <c r="CK19" i="106"/>
  <c r="J19" i="106"/>
  <c r="R19" i="106"/>
  <c r="Z19" i="106"/>
  <c r="AH19" i="106"/>
  <c r="AP19" i="106"/>
  <c r="AX19" i="106"/>
  <c r="BF19" i="106"/>
  <c r="BN19" i="106"/>
  <c r="BV19" i="106"/>
  <c r="CD19" i="106"/>
  <c r="CL19" i="106"/>
  <c r="K19" i="106"/>
  <c r="S19" i="106"/>
  <c r="AA19" i="106"/>
  <c r="AI19" i="106"/>
  <c r="AQ19" i="106"/>
  <c r="AY19" i="106"/>
  <c r="BG19" i="106"/>
  <c r="BO19" i="106"/>
  <c r="BW19" i="106"/>
  <c r="CE19" i="106"/>
  <c r="L19" i="106"/>
  <c r="T19" i="106"/>
  <c r="AB19" i="106"/>
  <c r="AJ19" i="106"/>
  <c r="AR19" i="106"/>
  <c r="AZ19" i="106"/>
  <c r="BH19" i="106"/>
  <c r="BP19" i="106"/>
  <c r="BX19" i="106"/>
  <c r="CF19" i="106"/>
  <c r="M19" i="106"/>
  <c r="U19" i="106"/>
  <c r="AC19" i="106"/>
  <c r="AK19" i="106"/>
  <c r="AS19" i="106"/>
  <c r="BA19" i="106"/>
  <c r="BI19" i="106"/>
  <c r="BQ19" i="106"/>
  <c r="BY19" i="106"/>
  <c r="CG19" i="106"/>
  <c r="N19" i="106"/>
  <c r="V19" i="106"/>
  <c r="AD19" i="106"/>
  <c r="AL19" i="106"/>
  <c r="AT19" i="106"/>
  <c r="BB19" i="106"/>
  <c r="BJ19" i="106"/>
  <c r="BR19" i="106"/>
  <c r="BZ19" i="106"/>
  <c r="CH19" i="106"/>
  <c r="O19" i="106"/>
  <c r="W19" i="106"/>
  <c r="AE19" i="106"/>
  <c r="AM19" i="106"/>
  <c r="AU19" i="106"/>
  <c r="BC19" i="106"/>
  <c r="BK19" i="106"/>
  <c r="BS19" i="106"/>
  <c r="CA19" i="106"/>
  <c r="CI19" i="106"/>
  <c r="H19" i="106"/>
  <c r="P19" i="106"/>
  <c r="X19" i="106"/>
  <c r="AF19" i="106"/>
  <c r="AN19" i="106"/>
  <c r="AV19" i="106"/>
  <c r="BD19" i="106"/>
  <c r="BL19" i="106"/>
  <c r="BT19" i="106"/>
  <c r="CB19" i="106"/>
  <c r="CJ19" i="106"/>
  <c r="I17" i="106"/>
  <c r="Q17" i="106"/>
  <c r="Y17" i="106"/>
  <c r="AG17" i="106"/>
  <c r="AO17" i="106"/>
  <c r="AW17" i="106"/>
  <c r="BE17" i="106"/>
  <c r="BM17" i="106"/>
  <c r="BU17" i="106"/>
  <c r="CC17" i="106"/>
  <c r="CK17" i="106"/>
  <c r="J17" i="106"/>
  <c r="R17" i="106"/>
  <c r="Z17" i="106"/>
  <c r="AH17" i="106"/>
  <c r="AP17" i="106"/>
  <c r="AX17" i="106"/>
  <c r="BF17" i="106"/>
  <c r="BN17" i="106"/>
  <c r="BV17" i="106"/>
  <c r="CD17" i="106"/>
  <c r="CL17" i="106"/>
  <c r="K17" i="106"/>
  <c r="S17" i="106"/>
  <c r="AA17" i="106"/>
  <c r="AI17" i="106"/>
  <c r="AQ17" i="106"/>
  <c r="AY17" i="106"/>
  <c r="BG17" i="106"/>
  <c r="BO17" i="106"/>
  <c r="BW17" i="106"/>
  <c r="CE17" i="106"/>
  <c r="L17" i="106"/>
  <c r="T17" i="106"/>
  <c r="AB17" i="106"/>
  <c r="AJ17" i="106"/>
  <c r="AR17" i="106"/>
  <c r="AZ17" i="106"/>
  <c r="BH17" i="106"/>
  <c r="BP17" i="106"/>
  <c r="BX17" i="106"/>
  <c r="CF17" i="106"/>
  <c r="M17" i="106"/>
  <c r="U17" i="106"/>
  <c r="AC17" i="106"/>
  <c r="AK17" i="106"/>
  <c r="AS17" i="106"/>
  <c r="BA17" i="106"/>
  <c r="BI17" i="106"/>
  <c r="BQ17" i="106"/>
  <c r="BY17" i="106"/>
  <c r="CG17" i="106"/>
  <c r="N17" i="106"/>
  <c r="V17" i="106"/>
  <c r="AD17" i="106"/>
  <c r="AL17" i="106"/>
  <c r="AT17" i="106"/>
  <c r="BB17" i="106"/>
  <c r="BJ17" i="106"/>
  <c r="BR17" i="106"/>
  <c r="BZ17" i="106"/>
  <c r="CH17" i="106"/>
  <c r="O17" i="106"/>
  <c r="W17" i="106"/>
  <c r="AE17" i="106"/>
  <c r="AM17" i="106"/>
  <c r="AU17" i="106"/>
  <c r="AU66" i="106" s="1"/>
  <c r="BC17" i="106"/>
  <c r="BK17" i="106"/>
  <c r="BS17" i="106"/>
  <c r="CA17" i="106"/>
  <c r="CI17" i="106"/>
  <c r="H17" i="106"/>
  <c r="P17" i="106"/>
  <c r="X17" i="106"/>
  <c r="X66" i="106" s="1"/>
  <c r="AF17" i="106"/>
  <c r="AN17" i="106"/>
  <c r="AV17" i="106"/>
  <c r="BD17" i="106"/>
  <c r="BL17" i="106"/>
  <c r="BT17" i="106"/>
  <c r="CB17" i="106"/>
  <c r="CJ17" i="106"/>
  <c r="CJ66" i="106" s="1"/>
  <c r="M16" i="106"/>
  <c r="U16" i="106"/>
  <c r="AC16" i="106"/>
  <c r="AK16" i="106"/>
  <c r="AS16" i="106"/>
  <c r="BA16" i="106"/>
  <c r="BI16" i="106"/>
  <c r="BQ16" i="106"/>
  <c r="BY16" i="106"/>
  <c r="CG16" i="106"/>
  <c r="N16" i="106"/>
  <c r="V16" i="106"/>
  <c r="AD16" i="106"/>
  <c r="AL16" i="106"/>
  <c r="AT16" i="106"/>
  <c r="BB16" i="106"/>
  <c r="BJ16" i="106"/>
  <c r="BR16" i="106"/>
  <c r="BZ16" i="106"/>
  <c r="CH16" i="106"/>
  <c r="O16" i="106"/>
  <c r="W16" i="106"/>
  <c r="AE16" i="106"/>
  <c r="AM16" i="106"/>
  <c r="AU16" i="106"/>
  <c r="BC16" i="106"/>
  <c r="BK16" i="106"/>
  <c r="BS16" i="106"/>
  <c r="CA16" i="106"/>
  <c r="CI16" i="106"/>
  <c r="H16" i="106"/>
  <c r="P16" i="106"/>
  <c r="X16" i="106"/>
  <c r="AF16" i="106"/>
  <c r="AN16" i="106"/>
  <c r="AV16" i="106"/>
  <c r="BD16" i="106"/>
  <c r="BL16" i="106"/>
  <c r="BT16" i="106"/>
  <c r="CB16" i="106"/>
  <c r="CJ16" i="106"/>
  <c r="I16" i="106"/>
  <c r="Q16" i="106"/>
  <c r="Y16" i="106"/>
  <c r="AG16" i="106"/>
  <c r="AO16" i="106"/>
  <c r="AW16" i="106"/>
  <c r="BE16" i="106"/>
  <c r="BM16" i="106"/>
  <c r="BU16" i="106"/>
  <c r="CC16" i="106"/>
  <c r="CK16" i="106"/>
  <c r="J16" i="106"/>
  <c r="R16" i="106"/>
  <c r="Z16" i="106"/>
  <c r="AH16" i="106"/>
  <c r="AP16" i="106"/>
  <c r="AX16" i="106"/>
  <c r="BF16" i="106"/>
  <c r="BN16" i="106"/>
  <c r="BV16" i="106"/>
  <c r="CD16" i="106"/>
  <c r="CL16" i="106"/>
  <c r="K16" i="106"/>
  <c r="S16" i="106"/>
  <c r="AA16" i="106"/>
  <c r="AI16" i="106"/>
  <c r="AQ16" i="106"/>
  <c r="AY16" i="106"/>
  <c r="BG16" i="106"/>
  <c r="BO16" i="106"/>
  <c r="BW16" i="106"/>
  <c r="CE16" i="106"/>
  <c r="L16" i="106"/>
  <c r="T16" i="106"/>
  <c r="AB16" i="106"/>
  <c r="AJ16" i="106"/>
  <c r="AR16" i="106"/>
  <c r="AZ16" i="106"/>
  <c r="BH16" i="106"/>
  <c r="BP16" i="106"/>
  <c r="BX16" i="106"/>
  <c r="CF16" i="106"/>
  <c r="M18" i="106"/>
  <c r="M54" i="106" s="1"/>
  <c r="U18" i="106"/>
  <c r="AC18" i="106"/>
  <c r="AC54" i="106" s="1"/>
  <c r="AK18" i="106"/>
  <c r="AS18" i="106"/>
  <c r="BA18" i="106"/>
  <c r="BA54" i="106" s="1"/>
  <c r="BI18" i="106"/>
  <c r="BI54" i="106" s="1"/>
  <c r="BQ18" i="106"/>
  <c r="BY18" i="106"/>
  <c r="BY54" i="106" s="1"/>
  <c r="CG18" i="106"/>
  <c r="N18" i="106"/>
  <c r="N54" i="106" s="1"/>
  <c r="V18" i="106"/>
  <c r="AD18" i="106"/>
  <c r="AL18" i="106"/>
  <c r="AL54" i="106" s="1"/>
  <c r="AT18" i="106"/>
  <c r="AT54" i="106" s="1"/>
  <c r="BB18" i="106"/>
  <c r="BJ18" i="106"/>
  <c r="BJ54" i="106" s="1"/>
  <c r="BR18" i="106"/>
  <c r="BZ18" i="106"/>
  <c r="BZ54" i="106" s="1"/>
  <c r="CH18" i="106"/>
  <c r="O18" i="106"/>
  <c r="W18" i="106"/>
  <c r="W54" i="106" s="1"/>
  <c r="AE18" i="106"/>
  <c r="AE54" i="106" s="1"/>
  <c r="AM18" i="106"/>
  <c r="AU18" i="106"/>
  <c r="AU54" i="106" s="1"/>
  <c r="BC18" i="106"/>
  <c r="BK18" i="106"/>
  <c r="BK54" i="106" s="1"/>
  <c r="BS18" i="106"/>
  <c r="CA18" i="106"/>
  <c r="CI18" i="106"/>
  <c r="CI54" i="106" s="1"/>
  <c r="H18" i="106"/>
  <c r="H54" i="106" s="1"/>
  <c r="P18" i="106"/>
  <c r="X18" i="106"/>
  <c r="X54" i="106" s="1"/>
  <c r="AF18" i="106"/>
  <c r="AN18" i="106"/>
  <c r="AN54" i="106" s="1"/>
  <c r="AV18" i="106"/>
  <c r="BD18" i="106"/>
  <c r="BL18" i="106"/>
  <c r="BL54" i="106" s="1"/>
  <c r="BT18" i="106"/>
  <c r="BT54" i="106" s="1"/>
  <c r="CB18" i="106"/>
  <c r="CJ18" i="106"/>
  <c r="CJ54" i="106" s="1"/>
  <c r="I18" i="106"/>
  <c r="I54" i="106" s="1"/>
  <c r="Q18" i="106"/>
  <c r="Y18" i="106"/>
  <c r="Y54" i="106" s="1"/>
  <c r="AG18" i="106"/>
  <c r="AO18" i="106"/>
  <c r="AW18" i="106"/>
  <c r="AW54" i="106" s="1"/>
  <c r="BE18" i="106"/>
  <c r="BE54" i="106" s="1"/>
  <c r="BM18" i="106"/>
  <c r="BU18" i="106"/>
  <c r="BU54" i="106" s="1"/>
  <c r="CC18" i="106"/>
  <c r="CK18" i="106"/>
  <c r="CK54" i="106" s="1"/>
  <c r="J18" i="106"/>
  <c r="R18" i="106"/>
  <c r="Z18" i="106"/>
  <c r="Z54" i="106" s="1"/>
  <c r="AH18" i="106"/>
  <c r="AH54" i="106" s="1"/>
  <c r="AP18" i="106"/>
  <c r="AX18" i="106"/>
  <c r="AX54" i="106" s="1"/>
  <c r="BF18" i="106"/>
  <c r="BN18" i="106"/>
  <c r="BN54" i="106" s="1"/>
  <c r="BV18" i="106"/>
  <c r="CD18" i="106"/>
  <c r="CL18" i="106"/>
  <c r="CL54" i="106" s="1"/>
  <c r="K18" i="106"/>
  <c r="K54" i="106" s="1"/>
  <c r="S18" i="106"/>
  <c r="AA18" i="106"/>
  <c r="AA54" i="106" s="1"/>
  <c r="AI18" i="106"/>
  <c r="AQ18" i="106"/>
  <c r="AQ54" i="106" s="1"/>
  <c r="AY18" i="106"/>
  <c r="BG18" i="106"/>
  <c r="BO18" i="106"/>
  <c r="BO54" i="106" s="1"/>
  <c r="BW18" i="106"/>
  <c r="BW54" i="106" s="1"/>
  <c r="CE18" i="106"/>
  <c r="L18" i="106"/>
  <c r="L54" i="106" s="1"/>
  <c r="T18" i="106"/>
  <c r="T54" i="106" s="1"/>
  <c r="AB18" i="106"/>
  <c r="AJ18" i="106"/>
  <c r="AR18" i="106"/>
  <c r="AR54" i="106" s="1"/>
  <c r="AZ18" i="106"/>
  <c r="AZ54" i="106" s="1"/>
  <c r="BH18" i="106"/>
  <c r="BP18" i="106"/>
  <c r="BP54" i="106" s="1"/>
  <c r="BX18" i="106"/>
  <c r="BX54" i="106" s="1"/>
  <c r="CF18" i="106"/>
  <c r="CB54" i="106" l="1"/>
  <c r="P54" i="106"/>
  <c r="AM54" i="106"/>
  <c r="BB54" i="106"/>
  <c r="BQ54" i="106"/>
  <c r="BJ66" i="106"/>
  <c r="BY66" i="106"/>
  <c r="M66" i="106"/>
  <c r="CB66" i="106"/>
  <c r="P66" i="106"/>
  <c r="AM66" i="106"/>
  <c r="BB66" i="106"/>
  <c r="BQ66" i="106"/>
  <c r="CF54" i="106"/>
  <c r="AI54" i="106"/>
  <c r="BF54" i="106"/>
  <c r="CC54" i="106"/>
  <c r="Q54" i="106"/>
  <c r="G41" i="106"/>
  <c r="G62" i="106" s="1"/>
  <c r="G65" i="106" s="1"/>
  <c r="G67" i="106" s="1"/>
  <c r="G68" i="106" s="1"/>
  <c r="AF54" i="106"/>
  <c r="BC54" i="106"/>
  <c r="BR54" i="106"/>
  <c r="CG54" i="106"/>
  <c r="U54" i="106"/>
  <c r="AJ54" i="106"/>
  <c r="BG54" i="106"/>
  <c r="CD54" i="106"/>
  <c r="R54" i="106"/>
  <c r="AO54" i="106"/>
  <c r="AB54" i="106"/>
  <c r="AY54" i="106"/>
  <c r="BV54" i="106"/>
  <c r="J54" i="106"/>
  <c r="AG54" i="106"/>
  <c r="AV54" i="106"/>
  <c r="BS54" i="106"/>
  <c r="CH54" i="106"/>
  <c r="V54" i="106"/>
  <c r="AK54" i="106"/>
  <c r="AB66" i="106"/>
  <c r="AY66" i="106"/>
  <c r="BV66" i="106"/>
  <c r="J66" i="106"/>
  <c r="AG66" i="106"/>
  <c r="H43" i="106"/>
  <c r="H61" i="106" s="1"/>
  <c r="H45" i="106"/>
  <c r="H63" i="106" s="1"/>
  <c r="H37" i="106"/>
  <c r="H36" i="106"/>
  <c r="H27" i="106"/>
  <c r="H38" i="106"/>
  <c r="H40" i="106"/>
  <c r="H34" i="106"/>
  <c r="H23" i="106"/>
  <c r="H44" i="106"/>
  <c r="H64" i="106" s="1"/>
  <c r="H39" i="106"/>
  <c r="H35" i="106"/>
  <c r="H42" i="106"/>
  <c r="H60" i="106" s="1"/>
  <c r="AR33" i="106"/>
  <c r="AR23" i="106"/>
  <c r="AR55" i="106" s="1"/>
  <c r="AR43" i="106"/>
  <c r="AR61" i="106" s="1"/>
  <c r="AR44" i="106"/>
  <c r="AR64" i="106" s="1"/>
  <c r="AR37" i="106"/>
  <c r="AR39" i="106"/>
  <c r="AR38" i="106"/>
  <c r="AR42" i="106"/>
  <c r="AR60" i="106" s="1"/>
  <c r="AR34" i="106"/>
  <c r="AR45" i="106"/>
  <c r="AR63" i="106" s="1"/>
  <c r="AR40" i="106"/>
  <c r="AR35" i="106"/>
  <c r="AR36" i="106"/>
  <c r="AR27" i="106"/>
  <c r="BG23" i="106"/>
  <c r="BG38" i="106"/>
  <c r="BG45" i="106"/>
  <c r="BG63" i="106" s="1"/>
  <c r="BG44" i="106"/>
  <c r="BG64" i="106" s="1"/>
  <c r="BG27" i="106"/>
  <c r="BG42" i="106"/>
  <c r="BG60" i="106" s="1"/>
  <c r="BG43" i="106"/>
  <c r="BG61" i="106" s="1"/>
  <c r="BG40" i="106"/>
  <c r="BG34" i="106"/>
  <c r="BG36" i="106"/>
  <c r="BG37" i="106"/>
  <c r="BG39" i="106"/>
  <c r="BG33" i="106"/>
  <c r="BG35" i="106"/>
  <c r="CD23" i="106"/>
  <c r="CD45" i="106"/>
  <c r="CD63" i="106" s="1"/>
  <c r="CD40" i="106"/>
  <c r="CD38" i="106"/>
  <c r="CD36" i="106"/>
  <c r="CD43" i="106"/>
  <c r="CD61" i="106" s="1"/>
  <c r="CD34" i="106"/>
  <c r="CD44" i="106"/>
  <c r="CD64" i="106" s="1"/>
  <c r="CD37" i="106"/>
  <c r="CD39" i="106"/>
  <c r="CD33" i="106"/>
  <c r="CD35" i="106"/>
  <c r="CD27" i="106"/>
  <c r="CD42" i="106"/>
  <c r="CD60" i="106" s="1"/>
  <c r="R23" i="106"/>
  <c r="R38" i="106"/>
  <c r="R36" i="106"/>
  <c r="R34" i="106"/>
  <c r="R43" i="106"/>
  <c r="R61" i="106" s="1"/>
  <c r="R44" i="106"/>
  <c r="R64" i="106" s="1"/>
  <c r="R37" i="106"/>
  <c r="R39" i="106"/>
  <c r="R27" i="106"/>
  <c r="R35" i="106"/>
  <c r="R42" i="106"/>
  <c r="R60" i="106" s="1"/>
  <c r="R45" i="106"/>
  <c r="R63" i="106" s="1"/>
  <c r="R40" i="106"/>
  <c r="AO33" i="106"/>
  <c r="AO44" i="106"/>
  <c r="AO64" i="106" s="1"/>
  <c r="AO38" i="106"/>
  <c r="AO39" i="106"/>
  <c r="AO23" i="106"/>
  <c r="AO35" i="106"/>
  <c r="AO34" i="106"/>
  <c r="AO42" i="106"/>
  <c r="AO60" i="106" s="1"/>
  <c r="AO27" i="106"/>
  <c r="AO45" i="106"/>
  <c r="AO63" i="106" s="1"/>
  <c r="AO37" i="106"/>
  <c r="AO36" i="106"/>
  <c r="AO43" i="106"/>
  <c r="AO61" i="106" s="1"/>
  <c r="AO40" i="106"/>
  <c r="BL33" i="106"/>
  <c r="BL27" i="106"/>
  <c r="BL39" i="106"/>
  <c r="BL35" i="106"/>
  <c r="BL43" i="106"/>
  <c r="BL61" i="106" s="1"/>
  <c r="BL36" i="106"/>
  <c r="BL37" i="106"/>
  <c r="BL40" i="106"/>
  <c r="BL45" i="106"/>
  <c r="BL63" i="106" s="1"/>
  <c r="BL42" i="106"/>
  <c r="BL60" i="106" s="1"/>
  <c r="BL38" i="106"/>
  <c r="BL23" i="106"/>
  <c r="BL34" i="106"/>
  <c r="BL44" i="106"/>
  <c r="BL64" i="106" s="1"/>
  <c r="CI27" i="106"/>
  <c r="CI38" i="106"/>
  <c r="CI36" i="106"/>
  <c r="CI34" i="106"/>
  <c r="CI44" i="106"/>
  <c r="CI64" i="106" s="1"/>
  <c r="CI35" i="106"/>
  <c r="CI42" i="106"/>
  <c r="CI60" i="106" s="1"/>
  <c r="CI45" i="106"/>
  <c r="CI63" i="106" s="1"/>
  <c r="CI40" i="106"/>
  <c r="CI33" i="106"/>
  <c r="CI39" i="106"/>
  <c r="CI43" i="106"/>
  <c r="CI61" i="106" s="1"/>
  <c r="CI23" i="106"/>
  <c r="CI37" i="106"/>
  <c r="W27" i="106"/>
  <c r="W37" i="106"/>
  <c r="W35" i="106"/>
  <c r="W33" i="106"/>
  <c r="W42" i="106"/>
  <c r="W60" i="106" s="1"/>
  <c r="W45" i="106"/>
  <c r="W63" i="106" s="1"/>
  <c r="W39" i="106"/>
  <c r="W43" i="106"/>
  <c r="W61" i="106" s="1"/>
  <c r="W23" i="106"/>
  <c r="W55" i="106" s="1"/>
  <c r="W38" i="106"/>
  <c r="W40" i="106"/>
  <c r="W34" i="106"/>
  <c r="W36" i="106"/>
  <c r="W44" i="106"/>
  <c r="W64" i="106" s="1"/>
  <c r="AL27" i="106"/>
  <c r="AL39" i="106"/>
  <c r="AL42" i="106"/>
  <c r="AL60" i="106" s="1"/>
  <c r="AL33" i="106"/>
  <c r="AL45" i="106"/>
  <c r="AL63" i="106" s="1"/>
  <c r="AL35" i="106"/>
  <c r="AL40" i="106"/>
  <c r="AL23" i="106"/>
  <c r="AL36" i="106"/>
  <c r="AL34" i="106"/>
  <c r="AL43" i="106"/>
  <c r="AL61" i="106" s="1"/>
  <c r="AL37" i="106"/>
  <c r="AL38" i="106"/>
  <c r="AL44" i="106"/>
  <c r="AL64" i="106" s="1"/>
  <c r="BA34" i="106"/>
  <c r="BA42" i="106"/>
  <c r="BA60" i="106" s="1"/>
  <c r="BA38" i="106"/>
  <c r="BA45" i="106"/>
  <c r="BA63" i="106" s="1"/>
  <c r="BA27" i="106"/>
  <c r="BA43" i="106"/>
  <c r="BA61" i="106" s="1"/>
  <c r="BA23" i="106"/>
  <c r="BA37" i="106"/>
  <c r="BA35" i="106"/>
  <c r="BA44" i="106"/>
  <c r="BA64" i="106" s="1"/>
  <c r="BA39" i="106"/>
  <c r="BA33" i="106"/>
  <c r="BA40" i="106"/>
  <c r="BA36" i="106"/>
  <c r="CF66" i="106"/>
  <c r="T66" i="106"/>
  <c r="AQ66" i="106"/>
  <c r="BN66" i="106"/>
  <c r="CK66" i="106"/>
  <c r="Y66" i="106"/>
  <c r="BO38" i="106"/>
  <c r="BO45" i="106"/>
  <c r="BO63" i="106" s="1"/>
  <c r="BO39" i="106"/>
  <c r="BO44" i="106"/>
  <c r="BO64" i="106" s="1"/>
  <c r="BO34" i="106"/>
  <c r="BO23" i="106"/>
  <c r="BO42" i="106"/>
  <c r="BO60" i="106" s="1"/>
  <c r="BO35" i="106"/>
  <c r="BO40" i="106"/>
  <c r="BO27" i="106"/>
  <c r="BO36" i="106"/>
  <c r="BO33" i="106"/>
  <c r="BO37" i="106"/>
  <c r="BO43" i="106"/>
  <c r="BO61" i="106" s="1"/>
  <c r="AJ23" i="106"/>
  <c r="AJ55" i="106" s="1"/>
  <c r="AJ44" i="106"/>
  <c r="AJ64" i="106" s="1"/>
  <c r="AJ37" i="106"/>
  <c r="AJ39" i="106"/>
  <c r="AJ34" i="106"/>
  <c r="AJ35" i="106"/>
  <c r="AJ27" i="106"/>
  <c r="AJ42" i="106"/>
  <c r="AJ60" i="106" s="1"/>
  <c r="AJ33" i="106"/>
  <c r="AJ45" i="106"/>
  <c r="AJ63" i="106" s="1"/>
  <c r="AJ38" i="106"/>
  <c r="AJ40" i="106"/>
  <c r="AJ36" i="106"/>
  <c r="AJ43" i="106"/>
  <c r="AJ61" i="106" s="1"/>
  <c r="AY44" i="106"/>
  <c r="AY64" i="106" s="1"/>
  <c r="AY39" i="106"/>
  <c r="AY42" i="106"/>
  <c r="AY60" i="106" s="1"/>
  <c r="AY38" i="106"/>
  <c r="AY45" i="106"/>
  <c r="AY63" i="106" s="1"/>
  <c r="AY27" i="106"/>
  <c r="AY40" i="106"/>
  <c r="AY36" i="106"/>
  <c r="AY43" i="106"/>
  <c r="AY61" i="106" s="1"/>
  <c r="AY33" i="106"/>
  <c r="AY37" i="106"/>
  <c r="AY35" i="106"/>
  <c r="AY34" i="106"/>
  <c r="AY23" i="106"/>
  <c r="AY55" i="106" s="1"/>
  <c r="BV23" i="106"/>
  <c r="BV33" i="106"/>
  <c r="BV44" i="106"/>
  <c r="BV64" i="106" s="1"/>
  <c r="BV37" i="106"/>
  <c r="BV45" i="106"/>
  <c r="BV63" i="106" s="1"/>
  <c r="BV27" i="106"/>
  <c r="BV39" i="106"/>
  <c r="BV35" i="106"/>
  <c r="BV42" i="106"/>
  <c r="BV60" i="106" s="1"/>
  <c r="BV40" i="106"/>
  <c r="BV38" i="106"/>
  <c r="BV36" i="106"/>
  <c r="BV34" i="106"/>
  <c r="BV43" i="106"/>
  <c r="BV61" i="106" s="1"/>
  <c r="J23" i="106"/>
  <c r="J35" i="106"/>
  <c r="J42" i="106"/>
  <c r="J60" i="106" s="1"/>
  <c r="J45" i="106"/>
  <c r="J63" i="106" s="1"/>
  <c r="J40" i="106"/>
  <c r="J38" i="106"/>
  <c r="J36" i="106"/>
  <c r="J34" i="106"/>
  <c r="J43" i="106"/>
  <c r="J61" i="106" s="1"/>
  <c r="J44" i="106"/>
  <c r="J64" i="106" s="1"/>
  <c r="J37" i="106"/>
  <c r="J39" i="106"/>
  <c r="J27" i="106"/>
  <c r="AG34" i="106"/>
  <c r="AG33" i="106"/>
  <c r="AG40" i="106"/>
  <c r="AG38" i="106"/>
  <c r="AG45" i="106"/>
  <c r="AG63" i="106" s="1"/>
  <c r="AG43" i="106"/>
  <c r="AG61" i="106" s="1"/>
  <c r="AG37" i="106"/>
  <c r="AG44" i="106"/>
  <c r="AG64" i="106" s="1"/>
  <c r="AG23" i="106"/>
  <c r="AG39" i="106"/>
  <c r="AG36" i="106"/>
  <c r="AG35" i="106"/>
  <c r="AG27" i="106"/>
  <c r="AG42" i="106"/>
  <c r="AG60" i="106" s="1"/>
  <c r="BD40" i="106"/>
  <c r="BD27" i="106"/>
  <c r="BD37" i="106"/>
  <c r="BD23" i="106"/>
  <c r="BD55" i="106" s="1"/>
  <c r="BD38" i="106"/>
  <c r="BD33" i="106"/>
  <c r="BD34" i="106"/>
  <c r="BD44" i="106"/>
  <c r="BD64" i="106" s="1"/>
  <c r="BD39" i="106"/>
  <c r="BD35" i="106"/>
  <c r="BD45" i="106"/>
  <c r="BD63" i="106" s="1"/>
  <c r="BD42" i="106"/>
  <c r="BD60" i="106" s="1"/>
  <c r="BD43" i="106"/>
  <c r="BD61" i="106" s="1"/>
  <c r="BD36" i="106"/>
  <c r="CA27" i="106"/>
  <c r="CA45" i="106"/>
  <c r="CA63" i="106" s="1"/>
  <c r="CA37" i="106"/>
  <c r="CA43" i="106"/>
  <c r="CA61" i="106" s="1"/>
  <c r="CA36" i="106"/>
  <c r="CA38" i="106"/>
  <c r="CA42" i="106"/>
  <c r="CA60" i="106" s="1"/>
  <c r="CA34" i="106"/>
  <c r="CA39" i="106"/>
  <c r="CA44" i="106"/>
  <c r="CA64" i="106" s="1"/>
  <c r="CA23" i="106"/>
  <c r="CA40" i="106"/>
  <c r="CA35" i="106"/>
  <c r="CA33" i="106"/>
  <c r="O27" i="106"/>
  <c r="O43" i="106"/>
  <c r="O61" i="106" s="1"/>
  <c r="O42" i="106"/>
  <c r="O60" i="106" s="1"/>
  <c r="O38" i="106"/>
  <c r="O39" i="106"/>
  <c r="O34" i="106"/>
  <c r="O23" i="106"/>
  <c r="O55" i="106" s="1"/>
  <c r="O44" i="106"/>
  <c r="O64" i="106" s="1"/>
  <c r="O40" i="106"/>
  <c r="O35" i="106"/>
  <c r="O37" i="106"/>
  <c r="O45" i="106"/>
  <c r="O63" i="106" s="1"/>
  <c r="O36" i="106"/>
  <c r="AD33" i="106"/>
  <c r="AD35" i="106"/>
  <c r="AD40" i="106"/>
  <c r="AD23" i="106"/>
  <c r="AD36" i="106"/>
  <c r="AD43" i="106"/>
  <c r="AD61" i="106" s="1"/>
  <c r="AD37" i="106"/>
  <c r="AD38" i="106"/>
  <c r="AD44" i="106"/>
  <c r="AD64" i="106" s="1"/>
  <c r="AD42" i="106"/>
  <c r="AD60" i="106" s="1"/>
  <c r="AD39" i="106"/>
  <c r="AD45" i="106"/>
  <c r="AD63" i="106" s="1"/>
  <c r="AD34" i="106"/>
  <c r="AD27" i="106"/>
  <c r="AS27" i="106"/>
  <c r="AS35" i="106"/>
  <c r="AS42" i="106"/>
  <c r="AS60" i="106" s="1"/>
  <c r="AS34" i="106"/>
  <c r="AS45" i="106"/>
  <c r="AS63" i="106" s="1"/>
  <c r="AS38" i="106"/>
  <c r="AS43" i="106"/>
  <c r="AS61" i="106" s="1"/>
  <c r="AS44" i="106"/>
  <c r="AS64" i="106" s="1"/>
  <c r="AS37" i="106"/>
  <c r="AS39" i="106"/>
  <c r="AS36" i="106"/>
  <c r="AS33" i="106"/>
  <c r="AS40" i="106"/>
  <c r="AS23" i="106"/>
  <c r="BT66" i="106"/>
  <c r="H66" i="106"/>
  <c r="AE66" i="106"/>
  <c r="AT66" i="106"/>
  <c r="BI66" i="106"/>
  <c r="BX66" i="106"/>
  <c r="L66" i="106"/>
  <c r="AI66" i="106"/>
  <c r="BF66" i="106"/>
  <c r="CC66" i="106"/>
  <c r="Q66" i="106"/>
  <c r="AW36" i="106"/>
  <c r="AW42" i="106"/>
  <c r="AW60" i="106" s="1"/>
  <c r="AW27" i="106"/>
  <c r="AW40" i="106"/>
  <c r="AW38" i="106"/>
  <c r="AW34" i="106"/>
  <c r="AW43" i="106"/>
  <c r="AW61" i="106" s="1"/>
  <c r="AW37" i="106"/>
  <c r="AW44" i="106"/>
  <c r="AW64" i="106" s="1"/>
  <c r="AW23" i="106"/>
  <c r="AW39" i="106"/>
  <c r="AW33" i="106"/>
  <c r="AW35" i="106"/>
  <c r="AW45" i="106"/>
  <c r="AW63" i="106" s="1"/>
  <c r="CE54" i="106"/>
  <c r="S54" i="106"/>
  <c r="AP54" i="106"/>
  <c r="BM54" i="106"/>
  <c r="AB35" i="106"/>
  <c r="AB34" i="106"/>
  <c r="AB42" i="106"/>
  <c r="AB60" i="106" s="1"/>
  <c r="AB33" i="106"/>
  <c r="AB45" i="106"/>
  <c r="AB63" i="106" s="1"/>
  <c r="AB27" i="106"/>
  <c r="AB40" i="106"/>
  <c r="AB23" i="106"/>
  <c r="AB36" i="106"/>
  <c r="AB43" i="106"/>
  <c r="AB61" i="106" s="1"/>
  <c r="AB44" i="106"/>
  <c r="AB64" i="106" s="1"/>
  <c r="AB37" i="106"/>
  <c r="AB38" i="106"/>
  <c r="AB39" i="106"/>
  <c r="AQ45" i="106"/>
  <c r="AQ63" i="106" s="1"/>
  <c r="AQ37" i="106"/>
  <c r="AQ40" i="106"/>
  <c r="AQ35" i="106"/>
  <c r="AQ36" i="106"/>
  <c r="AQ27" i="106"/>
  <c r="AQ39" i="106"/>
  <c r="AQ33" i="106"/>
  <c r="AQ43" i="106"/>
  <c r="AQ61" i="106" s="1"/>
  <c r="AQ44" i="106"/>
  <c r="AQ64" i="106" s="1"/>
  <c r="AQ38" i="106"/>
  <c r="AQ23" i="106"/>
  <c r="AQ55" i="106" s="1"/>
  <c r="AQ34" i="106"/>
  <c r="AQ42" i="106"/>
  <c r="AQ60" i="106" s="1"/>
  <c r="BN23" i="106"/>
  <c r="BN40" i="106"/>
  <c r="BN45" i="106"/>
  <c r="BN63" i="106" s="1"/>
  <c r="BN36" i="106"/>
  <c r="BN34" i="106"/>
  <c r="BN38" i="106"/>
  <c r="BN37" i="106"/>
  <c r="BN43" i="106"/>
  <c r="BN61" i="106" s="1"/>
  <c r="BN44" i="106"/>
  <c r="BN64" i="106" s="1"/>
  <c r="BN27" i="106"/>
  <c r="BN39" i="106"/>
  <c r="BN33" i="106"/>
  <c r="BN35" i="106"/>
  <c r="BN42" i="106"/>
  <c r="BN60" i="106" s="1"/>
  <c r="CK39" i="106"/>
  <c r="CK34" i="106"/>
  <c r="CK35" i="106"/>
  <c r="CK23" i="106"/>
  <c r="CK55" i="106" s="1"/>
  <c r="CK42" i="106"/>
  <c r="CK60" i="106" s="1"/>
  <c r="CK27" i="106"/>
  <c r="CK37" i="106"/>
  <c r="CK36" i="106"/>
  <c r="CK43" i="106"/>
  <c r="CK61" i="106" s="1"/>
  <c r="CK40" i="106"/>
  <c r="CK45" i="106"/>
  <c r="CK63" i="106" s="1"/>
  <c r="CK38" i="106"/>
  <c r="CK44" i="106"/>
  <c r="CK64" i="106" s="1"/>
  <c r="CK33" i="106"/>
  <c r="Y35" i="106"/>
  <c r="Y34" i="106"/>
  <c r="Y42" i="106"/>
  <c r="Y60" i="106" s="1"/>
  <c r="Y33" i="106"/>
  <c r="Y37" i="106"/>
  <c r="Y27" i="106"/>
  <c r="Y36" i="106"/>
  <c r="Y45" i="106"/>
  <c r="Y63" i="106" s="1"/>
  <c r="Y43" i="106"/>
  <c r="Y61" i="106" s="1"/>
  <c r="Y40" i="106"/>
  <c r="Y44" i="106"/>
  <c r="Y64" i="106" s="1"/>
  <c r="Y38" i="106"/>
  <c r="Y39" i="106"/>
  <c r="Y23" i="106"/>
  <c r="Y55" i="106" s="1"/>
  <c r="AV35" i="106"/>
  <c r="AV36" i="106"/>
  <c r="AV43" i="106"/>
  <c r="AV61" i="106" s="1"/>
  <c r="AV40" i="106"/>
  <c r="AV37" i="106"/>
  <c r="AV23" i="106"/>
  <c r="AV38" i="106"/>
  <c r="AV33" i="106"/>
  <c r="AV34" i="106"/>
  <c r="AV42" i="106"/>
  <c r="AV60" i="106" s="1"/>
  <c r="AV27" i="106"/>
  <c r="AV45" i="106"/>
  <c r="AV63" i="106" s="1"/>
  <c r="AV44" i="106"/>
  <c r="AV64" i="106" s="1"/>
  <c r="AV39" i="106"/>
  <c r="BS39" i="106"/>
  <c r="BS44" i="106"/>
  <c r="BS64" i="106" s="1"/>
  <c r="BS35" i="106"/>
  <c r="BS42" i="106"/>
  <c r="BS60" i="106" s="1"/>
  <c r="BS33" i="106"/>
  <c r="BS45" i="106"/>
  <c r="BS63" i="106" s="1"/>
  <c r="BS36" i="106"/>
  <c r="BS43" i="106"/>
  <c r="BS61" i="106" s="1"/>
  <c r="BS37" i="106"/>
  <c r="BS38" i="106"/>
  <c r="BS23" i="106"/>
  <c r="BS34" i="106"/>
  <c r="BS40" i="106"/>
  <c r="BS27" i="106"/>
  <c r="CH33" i="106"/>
  <c r="CH27" i="106"/>
  <c r="CH38" i="106"/>
  <c r="CH34" i="106"/>
  <c r="CH42" i="106"/>
  <c r="CH60" i="106" s="1"/>
  <c r="CH44" i="106"/>
  <c r="CH64" i="106" s="1"/>
  <c r="CH40" i="106"/>
  <c r="CH39" i="106"/>
  <c r="CH36" i="106"/>
  <c r="CH23" i="106"/>
  <c r="CH55" i="106" s="1"/>
  <c r="CH45" i="106"/>
  <c r="CH63" i="106" s="1"/>
  <c r="CH35" i="106"/>
  <c r="CH43" i="106"/>
  <c r="CH61" i="106" s="1"/>
  <c r="CH37" i="106"/>
  <c r="V27" i="106"/>
  <c r="V38" i="106"/>
  <c r="V34" i="106"/>
  <c r="V42" i="106"/>
  <c r="V60" i="106" s="1"/>
  <c r="V44" i="106"/>
  <c r="V64" i="106" s="1"/>
  <c r="V45" i="106"/>
  <c r="V63" i="106" s="1"/>
  <c r="V39" i="106"/>
  <c r="V40" i="106"/>
  <c r="V35" i="106"/>
  <c r="V36" i="106"/>
  <c r="V23" i="106"/>
  <c r="V43" i="106"/>
  <c r="V61" i="106" s="1"/>
  <c r="V33" i="106"/>
  <c r="V37" i="106"/>
  <c r="AK37" i="106"/>
  <c r="AK38" i="106"/>
  <c r="AK35" i="106"/>
  <c r="AK23" i="106"/>
  <c r="AK39" i="106"/>
  <c r="AK44" i="106"/>
  <c r="AK64" i="106" s="1"/>
  <c r="AK27" i="106"/>
  <c r="AK42" i="106"/>
  <c r="AK60" i="106" s="1"/>
  <c r="AK36" i="106"/>
  <c r="AK45" i="106"/>
  <c r="AK63" i="106" s="1"/>
  <c r="AK40" i="106"/>
  <c r="AK34" i="106"/>
  <c r="AK33" i="106"/>
  <c r="AK43" i="106"/>
  <c r="AK61" i="106" s="1"/>
  <c r="BL66" i="106"/>
  <c r="CI66" i="106"/>
  <c r="W66" i="106"/>
  <c r="AL66" i="106"/>
  <c r="BA66" i="106"/>
  <c r="BP66" i="106"/>
  <c r="CM17" i="106"/>
  <c r="AA66" i="106"/>
  <c r="AX66" i="106"/>
  <c r="BU66" i="106"/>
  <c r="I66" i="106"/>
  <c r="AZ34" i="106"/>
  <c r="AZ44" i="106"/>
  <c r="AZ64" i="106" s="1"/>
  <c r="AZ38" i="106"/>
  <c r="AZ39" i="106"/>
  <c r="AZ27" i="106"/>
  <c r="AZ35" i="106"/>
  <c r="AZ42" i="106"/>
  <c r="AZ60" i="106" s="1"/>
  <c r="AZ40" i="106"/>
  <c r="AZ36" i="106"/>
  <c r="AZ43" i="106"/>
  <c r="AZ61" i="106" s="1"/>
  <c r="AZ45" i="106"/>
  <c r="AZ63" i="106" s="1"/>
  <c r="AZ23" i="106"/>
  <c r="AZ37" i="106"/>
  <c r="AZ33" i="106"/>
  <c r="AE43" i="106"/>
  <c r="AE61" i="106" s="1"/>
  <c r="AE23" i="106"/>
  <c r="AE38" i="106"/>
  <c r="AE37" i="106"/>
  <c r="AE34" i="106"/>
  <c r="AE36" i="106"/>
  <c r="AE44" i="106"/>
  <c r="AE64" i="106" s="1"/>
  <c r="AE40" i="106"/>
  <c r="AE42" i="106"/>
  <c r="AE60" i="106" s="1"/>
  <c r="AE35" i="106"/>
  <c r="AE27" i="106"/>
  <c r="AE45" i="106"/>
  <c r="AE63" i="106" s="1"/>
  <c r="AE33" i="106"/>
  <c r="AE39" i="106"/>
  <c r="CF44" i="106"/>
  <c r="CF64" i="106" s="1"/>
  <c r="CF38" i="106"/>
  <c r="CF39" i="106"/>
  <c r="CF34" i="106"/>
  <c r="CF35" i="106"/>
  <c r="CF27" i="106"/>
  <c r="CF42" i="106"/>
  <c r="CF60" i="106" s="1"/>
  <c r="CF40" i="106"/>
  <c r="CF36" i="106"/>
  <c r="CF43" i="106"/>
  <c r="CF61" i="106" s="1"/>
  <c r="CF33" i="106"/>
  <c r="CF45" i="106"/>
  <c r="CF63" i="106" s="1"/>
  <c r="CF37" i="106"/>
  <c r="CF23" i="106"/>
  <c r="CF55" i="106" s="1"/>
  <c r="T45" i="106"/>
  <c r="T63" i="106" s="1"/>
  <c r="T40" i="106"/>
  <c r="T36" i="106"/>
  <c r="T43" i="106"/>
  <c r="T61" i="106" s="1"/>
  <c r="T44" i="106"/>
  <c r="T64" i="106" s="1"/>
  <c r="T37" i="106"/>
  <c r="T39" i="106"/>
  <c r="T38" i="106"/>
  <c r="T23" i="106"/>
  <c r="T33" i="106"/>
  <c r="T35" i="106"/>
  <c r="T27" i="106"/>
  <c r="T34" i="106"/>
  <c r="T42" i="106"/>
  <c r="T60" i="106" s="1"/>
  <c r="AI34" i="106"/>
  <c r="AI23" i="106"/>
  <c r="AI38" i="106"/>
  <c r="AI43" i="106"/>
  <c r="AI61" i="106" s="1"/>
  <c r="AI44" i="106"/>
  <c r="AI64" i="106" s="1"/>
  <c r="AI39" i="106"/>
  <c r="AI42" i="106"/>
  <c r="AI60" i="106" s="1"/>
  <c r="AI27" i="106"/>
  <c r="AI45" i="106"/>
  <c r="AI63" i="106" s="1"/>
  <c r="AI35" i="106"/>
  <c r="AI40" i="106"/>
  <c r="AI36" i="106"/>
  <c r="AI33" i="106"/>
  <c r="AI37" i="106"/>
  <c r="BF37" i="106"/>
  <c r="BF23" i="106"/>
  <c r="BF39" i="106"/>
  <c r="BF43" i="106"/>
  <c r="BF61" i="106" s="1"/>
  <c r="BF35" i="106"/>
  <c r="BF42" i="106"/>
  <c r="BF60" i="106" s="1"/>
  <c r="BF40" i="106"/>
  <c r="BF36" i="106"/>
  <c r="BF38" i="106"/>
  <c r="BF33" i="106"/>
  <c r="BF34" i="106"/>
  <c r="BF45" i="106"/>
  <c r="BF63" i="106" s="1"/>
  <c r="BF27" i="106"/>
  <c r="BF44" i="106"/>
  <c r="BF64" i="106" s="1"/>
  <c r="CC43" i="106"/>
  <c r="CC61" i="106" s="1"/>
  <c r="CC37" i="106"/>
  <c r="CC44" i="106"/>
  <c r="CC64" i="106" s="1"/>
  <c r="CC23" i="106"/>
  <c r="CC39" i="106"/>
  <c r="CC33" i="106"/>
  <c r="CC35" i="106"/>
  <c r="CC34" i="106"/>
  <c r="CC42" i="106"/>
  <c r="CC60" i="106" s="1"/>
  <c r="CC27" i="106"/>
  <c r="CC45" i="106"/>
  <c r="CC63" i="106" s="1"/>
  <c r="CC36" i="106"/>
  <c r="CC40" i="106"/>
  <c r="CC38" i="106"/>
  <c r="Q36" i="106"/>
  <c r="Q37" i="106"/>
  <c r="Q43" i="106"/>
  <c r="Q61" i="106" s="1"/>
  <c r="Q34" i="106"/>
  <c r="Q44" i="106"/>
  <c r="Q64" i="106" s="1"/>
  <c r="Q45" i="106"/>
  <c r="Q63" i="106" s="1"/>
  <c r="Q39" i="106"/>
  <c r="Q23" i="106"/>
  <c r="Q35" i="106"/>
  <c r="Q27" i="106"/>
  <c r="Q42" i="106"/>
  <c r="Q60" i="106" s="1"/>
  <c r="Q40" i="106"/>
  <c r="Q38" i="106"/>
  <c r="AN27" i="106"/>
  <c r="AN34" i="106"/>
  <c r="AN33" i="106"/>
  <c r="AN44" i="106"/>
  <c r="AN64" i="106" s="1"/>
  <c r="AN23" i="106"/>
  <c r="AN39" i="106"/>
  <c r="AN35" i="106"/>
  <c r="AN42" i="106"/>
  <c r="AN60" i="106" s="1"/>
  <c r="AN43" i="106"/>
  <c r="AN61" i="106" s="1"/>
  <c r="AN45" i="106"/>
  <c r="AN63" i="106" s="1"/>
  <c r="AN38" i="106"/>
  <c r="AN37" i="106"/>
  <c r="AN36" i="106"/>
  <c r="AN40" i="106"/>
  <c r="BK27" i="106"/>
  <c r="BK43" i="106"/>
  <c r="BK61" i="106" s="1"/>
  <c r="BK39" i="106"/>
  <c r="BK38" i="106"/>
  <c r="BK23" i="106"/>
  <c r="BK34" i="106"/>
  <c r="BK37" i="106"/>
  <c r="BK44" i="106"/>
  <c r="BK64" i="106" s="1"/>
  <c r="BK36" i="106"/>
  <c r="BK40" i="106"/>
  <c r="BK42" i="106"/>
  <c r="BK60" i="106" s="1"/>
  <c r="BK35" i="106"/>
  <c r="BK45" i="106"/>
  <c r="BK63" i="106" s="1"/>
  <c r="BK33" i="106"/>
  <c r="BZ27" i="106"/>
  <c r="BZ35" i="106"/>
  <c r="BZ40" i="106"/>
  <c r="BZ33" i="106"/>
  <c r="BZ36" i="106"/>
  <c r="BZ23" i="106"/>
  <c r="BZ43" i="106"/>
  <c r="BZ61" i="106" s="1"/>
  <c r="BZ37" i="106"/>
  <c r="BZ38" i="106"/>
  <c r="BZ34" i="106"/>
  <c r="BZ45" i="106"/>
  <c r="BZ63" i="106" s="1"/>
  <c r="BZ44" i="106"/>
  <c r="BZ64" i="106" s="1"/>
  <c r="BZ42" i="106"/>
  <c r="BZ60" i="106" s="1"/>
  <c r="BZ39" i="106"/>
  <c r="N34" i="106"/>
  <c r="N27" i="106"/>
  <c r="N45" i="106"/>
  <c r="N63" i="106" s="1"/>
  <c r="N35" i="106"/>
  <c r="N40" i="106"/>
  <c r="N23" i="106"/>
  <c r="N36" i="106"/>
  <c r="N43" i="106"/>
  <c r="N61" i="106" s="1"/>
  <c r="N37" i="106"/>
  <c r="N38" i="106"/>
  <c r="N44" i="106"/>
  <c r="N64" i="106" s="1"/>
  <c r="N42" i="106"/>
  <c r="N60" i="106" s="1"/>
  <c r="N39" i="106"/>
  <c r="AC35" i="106"/>
  <c r="AC34" i="106"/>
  <c r="AC42" i="106"/>
  <c r="AC60" i="106" s="1"/>
  <c r="AC39" i="106"/>
  <c r="AC45" i="106"/>
  <c r="AC63" i="106" s="1"/>
  <c r="AC33" i="106"/>
  <c r="AC38" i="106"/>
  <c r="AC43" i="106"/>
  <c r="AC61" i="106" s="1"/>
  <c r="AC27" i="106"/>
  <c r="AC37" i="106"/>
  <c r="AC23" i="106"/>
  <c r="AC44" i="106"/>
  <c r="AC64" i="106" s="1"/>
  <c r="AC36" i="106"/>
  <c r="AC40" i="106"/>
  <c r="BD66" i="106"/>
  <c r="CA66" i="106"/>
  <c r="O66" i="106"/>
  <c r="AD66" i="106"/>
  <c r="AS66" i="106"/>
  <c r="BH66" i="106"/>
  <c r="CE66" i="106"/>
  <c r="S66" i="106"/>
  <c r="AP66" i="106"/>
  <c r="BM66" i="106"/>
  <c r="CM18" i="106"/>
  <c r="BX23" i="106"/>
  <c r="BX42" i="106"/>
  <c r="BX60" i="106" s="1"/>
  <c r="BX40" i="106"/>
  <c r="BX43" i="106"/>
  <c r="BX61" i="106" s="1"/>
  <c r="BX44" i="106"/>
  <c r="BX64" i="106" s="1"/>
  <c r="BX38" i="106"/>
  <c r="BX39" i="106"/>
  <c r="BX33" i="106"/>
  <c r="BX35" i="106"/>
  <c r="BX36" i="106"/>
  <c r="BX37" i="106"/>
  <c r="BX27" i="106"/>
  <c r="BX45" i="106"/>
  <c r="BX63" i="106" s="1"/>
  <c r="BX34" i="106"/>
  <c r="L23" i="106"/>
  <c r="L42" i="106"/>
  <c r="L60" i="106" s="1"/>
  <c r="L27" i="106"/>
  <c r="L45" i="106"/>
  <c r="L63" i="106" s="1"/>
  <c r="L40" i="106"/>
  <c r="L43" i="106"/>
  <c r="L61" i="106" s="1"/>
  <c r="L44" i="106"/>
  <c r="L64" i="106" s="1"/>
  <c r="L37" i="106"/>
  <c r="L39" i="106"/>
  <c r="L38" i="106"/>
  <c r="L35" i="106"/>
  <c r="L36" i="106"/>
  <c r="L34" i="106"/>
  <c r="AA35" i="106"/>
  <c r="AA36" i="106"/>
  <c r="AA39" i="106"/>
  <c r="AA33" i="106"/>
  <c r="AA38" i="106"/>
  <c r="AA44" i="106"/>
  <c r="AA64" i="106" s="1"/>
  <c r="AA43" i="106"/>
  <c r="AA61" i="106" s="1"/>
  <c r="AA42" i="106"/>
  <c r="AA60" i="106" s="1"/>
  <c r="AA34" i="106"/>
  <c r="AA45" i="106"/>
  <c r="AA63" i="106" s="1"/>
  <c r="AA27" i="106"/>
  <c r="AA23" i="106"/>
  <c r="AA40" i="106"/>
  <c r="AA37" i="106"/>
  <c r="AX23" i="106"/>
  <c r="AX38" i="106"/>
  <c r="AX36" i="106"/>
  <c r="AX34" i="106"/>
  <c r="AX43" i="106"/>
  <c r="AX61" i="106" s="1"/>
  <c r="AX44" i="106"/>
  <c r="AX64" i="106" s="1"/>
  <c r="AX37" i="106"/>
  <c r="AX39" i="106"/>
  <c r="AX33" i="106"/>
  <c r="AX35" i="106"/>
  <c r="AX27" i="106"/>
  <c r="AX42" i="106"/>
  <c r="AX60" i="106" s="1"/>
  <c r="AX45" i="106"/>
  <c r="AX63" i="106" s="1"/>
  <c r="AX40" i="106"/>
  <c r="BU34" i="106"/>
  <c r="BU33" i="106"/>
  <c r="BU35" i="106"/>
  <c r="BU42" i="106"/>
  <c r="BU60" i="106" s="1"/>
  <c r="BU37" i="106"/>
  <c r="BU36" i="106"/>
  <c r="BU43" i="106"/>
  <c r="BU61" i="106" s="1"/>
  <c r="BU40" i="106"/>
  <c r="BU44" i="106"/>
  <c r="BU64" i="106" s="1"/>
  <c r="BU38" i="106"/>
  <c r="BU45" i="106"/>
  <c r="BU63" i="106" s="1"/>
  <c r="BU23" i="106"/>
  <c r="BU39" i="106"/>
  <c r="BU27" i="106"/>
  <c r="I42" i="106"/>
  <c r="I60" i="106" s="1"/>
  <c r="I27" i="106"/>
  <c r="I45" i="106"/>
  <c r="I63" i="106" s="1"/>
  <c r="I37" i="106"/>
  <c r="I40" i="106"/>
  <c r="I43" i="106"/>
  <c r="I61" i="106" s="1"/>
  <c r="I38" i="106"/>
  <c r="I44" i="106"/>
  <c r="I64" i="106" s="1"/>
  <c r="I36" i="106"/>
  <c r="I39" i="106"/>
  <c r="I23" i="106"/>
  <c r="I55" i="106" s="1"/>
  <c r="I35" i="106"/>
  <c r="I34" i="106"/>
  <c r="AF33" i="106"/>
  <c r="AF27" i="106"/>
  <c r="AF36" i="106"/>
  <c r="AF35" i="106"/>
  <c r="AF43" i="106"/>
  <c r="AF61" i="106" s="1"/>
  <c r="AF40" i="106"/>
  <c r="AF37" i="106"/>
  <c r="AF42" i="106"/>
  <c r="AF60" i="106" s="1"/>
  <c r="AF38" i="106"/>
  <c r="AF45" i="106"/>
  <c r="AF63" i="106" s="1"/>
  <c r="AF34" i="106"/>
  <c r="AF23" i="106"/>
  <c r="AF44" i="106"/>
  <c r="AF64" i="106" s="1"/>
  <c r="AF39" i="106"/>
  <c r="BC37" i="106"/>
  <c r="BC27" i="106"/>
  <c r="BC35" i="106"/>
  <c r="BC33" i="106"/>
  <c r="BC40" i="106"/>
  <c r="BC45" i="106"/>
  <c r="BC63" i="106" s="1"/>
  <c r="BC39" i="106"/>
  <c r="BC43" i="106"/>
  <c r="BC61" i="106" s="1"/>
  <c r="BC23" i="106"/>
  <c r="BC38" i="106"/>
  <c r="BC42" i="106"/>
  <c r="BC60" i="106" s="1"/>
  <c r="BC34" i="106"/>
  <c r="BC36" i="106"/>
  <c r="BC44" i="106"/>
  <c r="BC64" i="106" s="1"/>
  <c r="BR45" i="106"/>
  <c r="BR63" i="106" s="1"/>
  <c r="BR42" i="106"/>
  <c r="BR60" i="106" s="1"/>
  <c r="BR39" i="106"/>
  <c r="BR40" i="106"/>
  <c r="BR35" i="106"/>
  <c r="BR36" i="106"/>
  <c r="BR33" i="106"/>
  <c r="BR43" i="106"/>
  <c r="BR61" i="106" s="1"/>
  <c r="BR44" i="106"/>
  <c r="BR64" i="106" s="1"/>
  <c r="BR37" i="106"/>
  <c r="BR23" i="106"/>
  <c r="BR55" i="106" s="1"/>
  <c r="BR38" i="106"/>
  <c r="BR27" i="106"/>
  <c r="BR34" i="106"/>
  <c r="CG36" i="106"/>
  <c r="CG35" i="106"/>
  <c r="CG44" i="106"/>
  <c r="CG64" i="106" s="1"/>
  <c r="CG39" i="106"/>
  <c r="CG45" i="106"/>
  <c r="CG63" i="106" s="1"/>
  <c r="CG34" i="106"/>
  <c r="CG42" i="106"/>
  <c r="CG60" i="106" s="1"/>
  <c r="CG38" i="106"/>
  <c r="CG33" i="106"/>
  <c r="CG27" i="106"/>
  <c r="CG43" i="106"/>
  <c r="CG61" i="106" s="1"/>
  <c r="CG40" i="106"/>
  <c r="CG37" i="106"/>
  <c r="CG23" i="106"/>
  <c r="CG55" i="106" s="1"/>
  <c r="U43" i="106"/>
  <c r="U61" i="106" s="1"/>
  <c r="U23" i="106"/>
  <c r="U40" i="106"/>
  <c r="U36" i="106"/>
  <c r="U37" i="106"/>
  <c r="U44" i="106"/>
  <c r="U64" i="106" s="1"/>
  <c r="U39" i="106"/>
  <c r="U38" i="106"/>
  <c r="U27" i="106"/>
  <c r="U42" i="106"/>
  <c r="U60" i="106" s="1"/>
  <c r="U35" i="106"/>
  <c r="U45" i="106"/>
  <c r="U63" i="106" s="1"/>
  <c r="U34" i="106"/>
  <c r="U33" i="106"/>
  <c r="AV66" i="106"/>
  <c r="BS66" i="106"/>
  <c r="CH66" i="106"/>
  <c r="V66" i="106"/>
  <c r="AK66" i="106"/>
  <c r="AZ66" i="106"/>
  <c r="BW66" i="106"/>
  <c r="K66" i="106"/>
  <c r="AH66" i="106"/>
  <c r="BE66" i="106"/>
  <c r="Z23" i="106"/>
  <c r="Z37" i="106"/>
  <c r="Z35" i="106"/>
  <c r="Z42" i="106"/>
  <c r="Z60" i="106" s="1"/>
  <c r="Z45" i="106"/>
  <c r="Z63" i="106" s="1"/>
  <c r="Z40" i="106"/>
  <c r="Z38" i="106"/>
  <c r="Z36" i="106"/>
  <c r="Z34" i="106"/>
  <c r="Z43" i="106"/>
  <c r="Z61" i="106" s="1"/>
  <c r="Z44" i="106"/>
  <c r="Z64" i="106" s="1"/>
  <c r="Z33" i="106"/>
  <c r="Z27" i="106"/>
  <c r="Z39" i="106"/>
  <c r="AT36" i="106"/>
  <c r="AT33" i="106"/>
  <c r="AT43" i="106"/>
  <c r="AT61" i="106" s="1"/>
  <c r="AT23" i="106"/>
  <c r="AT27" i="106"/>
  <c r="AT37" i="106"/>
  <c r="AT38" i="106"/>
  <c r="AT44" i="106"/>
  <c r="AT64" i="106" s="1"/>
  <c r="AT42" i="106"/>
  <c r="AT60" i="106" s="1"/>
  <c r="AT35" i="106"/>
  <c r="AT45" i="106"/>
  <c r="AT63" i="106" s="1"/>
  <c r="AT34" i="106"/>
  <c r="AT39" i="106"/>
  <c r="AT40" i="106"/>
  <c r="BP23" i="106"/>
  <c r="BP34" i="106"/>
  <c r="BP40" i="106"/>
  <c r="BP36" i="106"/>
  <c r="BP43" i="106"/>
  <c r="BP61" i="106" s="1"/>
  <c r="BP45" i="106"/>
  <c r="BP63" i="106" s="1"/>
  <c r="BP37" i="106"/>
  <c r="BP44" i="106"/>
  <c r="BP64" i="106" s="1"/>
  <c r="BP27" i="106"/>
  <c r="BP39" i="106"/>
  <c r="BP33" i="106"/>
  <c r="BP35" i="106"/>
  <c r="BP38" i="106"/>
  <c r="BP42" i="106"/>
  <c r="BP60" i="106" s="1"/>
  <c r="CE43" i="106"/>
  <c r="CE61" i="106" s="1"/>
  <c r="CE33" i="106"/>
  <c r="CE37" i="106"/>
  <c r="CE44" i="106"/>
  <c r="CE64" i="106" s="1"/>
  <c r="CE39" i="106"/>
  <c r="CE42" i="106"/>
  <c r="CE60" i="106" s="1"/>
  <c r="CE38" i="106"/>
  <c r="CE45" i="106"/>
  <c r="CE63" i="106" s="1"/>
  <c r="CE34" i="106"/>
  <c r="CE23" i="106"/>
  <c r="CE40" i="106"/>
  <c r="CE27" i="106"/>
  <c r="CE36" i="106"/>
  <c r="CE35" i="106"/>
  <c r="S34" i="106"/>
  <c r="S40" i="106"/>
  <c r="S36" i="106"/>
  <c r="S23" i="106"/>
  <c r="S43" i="106"/>
  <c r="S61" i="106" s="1"/>
  <c r="S37" i="106"/>
  <c r="S39" i="106"/>
  <c r="S44" i="106"/>
  <c r="S64" i="106" s="1"/>
  <c r="S38" i="106"/>
  <c r="S42" i="106"/>
  <c r="S60" i="106" s="1"/>
  <c r="S35" i="106"/>
  <c r="S45" i="106"/>
  <c r="S63" i="106" s="1"/>
  <c r="S27" i="106"/>
  <c r="AP33" i="106"/>
  <c r="AP23" i="106"/>
  <c r="AP35" i="106"/>
  <c r="AP42" i="106"/>
  <c r="AP60" i="106" s="1"/>
  <c r="AP45" i="106"/>
  <c r="AP63" i="106" s="1"/>
  <c r="AP40" i="106"/>
  <c r="AP38" i="106"/>
  <c r="AP36" i="106"/>
  <c r="AP34" i="106"/>
  <c r="AP43" i="106"/>
  <c r="AP61" i="106" s="1"/>
  <c r="AP44" i="106"/>
  <c r="AP64" i="106" s="1"/>
  <c r="AP37" i="106"/>
  <c r="AP39" i="106"/>
  <c r="AP27" i="106"/>
  <c r="BM33" i="106"/>
  <c r="BM45" i="106"/>
  <c r="BM63" i="106" s="1"/>
  <c r="BM23" i="106"/>
  <c r="BM44" i="106"/>
  <c r="BM64" i="106" s="1"/>
  <c r="BM34" i="106"/>
  <c r="BM39" i="106"/>
  <c r="BM36" i="106"/>
  <c r="BM35" i="106"/>
  <c r="BM27" i="106"/>
  <c r="BM42" i="106"/>
  <c r="BM60" i="106" s="1"/>
  <c r="BM40" i="106"/>
  <c r="BM38" i="106"/>
  <c r="BM37" i="106"/>
  <c r="BM43" i="106"/>
  <c r="BM61" i="106" s="1"/>
  <c r="CJ33" i="106"/>
  <c r="CJ27" i="106"/>
  <c r="CJ43" i="106"/>
  <c r="CJ61" i="106" s="1"/>
  <c r="CJ42" i="106"/>
  <c r="CJ60" i="106" s="1"/>
  <c r="CJ37" i="106"/>
  <c r="CJ36" i="106"/>
  <c r="CJ45" i="106"/>
  <c r="CJ63" i="106" s="1"/>
  <c r="CJ40" i="106"/>
  <c r="CJ38" i="106"/>
  <c r="CJ23" i="106"/>
  <c r="CJ55" i="106" s="1"/>
  <c r="CJ34" i="106"/>
  <c r="CJ44" i="106"/>
  <c r="CJ64" i="106" s="1"/>
  <c r="CJ39" i="106"/>
  <c r="CJ35" i="106"/>
  <c r="X27" i="106"/>
  <c r="X44" i="106"/>
  <c r="X64" i="106" s="1"/>
  <c r="X33" i="106"/>
  <c r="X39" i="106"/>
  <c r="X34" i="106"/>
  <c r="X35" i="106"/>
  <c r="X42" i="106"/>
  <c r="X60" i="106" s="1"/>
  <c r="X43" i="106"/>
  <c r="X61" i="106" s="1"/>
  <c r="X36" i="106"/>
  <c r="X40" i="106"/>
  <c r="X37" i="106"/>
  <c r="X45" i="106"/>
  <c r="X63" i="106" s="1"/>
  <c r="X38" i="106"/>
  <c r="X23" i="106"/>
  <c r="AU43" i="106"/>
  <c r="AU61" i="106" s="1"/>
  <c r="AU36" i="106"/>
  <c r="AU42" i="106"/>
  <c r="AU60" i="106" s="1"/>
  <c r="AU38" i="106"/>
  <c r="AU39" i="106"/>
  <c r="AU34" i="106"/>
  <c r="AU23" i="106"/>
  <c r="AU44" i="106"/>
  <c r="AU64" i="106" s="1"/>
  <c r="AU40" i="106"/>
  <c r="AU35" i="106"/>
  <c r="AU27" i="106"/>
  <c r="AU33" i="106"/>
  <c r="AU45" i="106"/>
  <c r="AU63" i="106" s="1"/>
  <c r="AU37" i="106"/>
  <c r="BJ27" i="106"/>
  <c r="BJ33" i="106"/>
  <c r="BJ43" i="106"/>
  <c r="BJ61" i="106" s="1"/>
  <c r="BJ23" i="106"/>
  <c r="BJ37" i="106"/>
  <c r="BJ45" i="106"/>
  <c r="BJ63" i="106" s="1"/>
  <c r="BJ38" i="106"/>
  <c r="BJ34" i="106"/>
  <c r="BJ42" i="106"/>
  <c r="BJ60" i="106" s="1"/>
  <c r="BJ44" i="106"/>
  <c r="BJ64" i="106" s="1"/>
  <c r="BJ40" i="106"/>
  <c r="BJ39" i="106"/>
  <c r="BJ36" i="106"/>
  <c r="BJ35" i="106"/>
  <c r="BY43" i="106"/>
  <c r="BY61" i="106" s="1"/>
  <c r="BY39" i="106"/>
  <c r="BY37" i="106"/>
  <c r="BY33" i="106"/>
  <c r="BY34" i="106"/>
  <c r="BY23" i="106"/>
  <c r="BY36" i="106"/>
  <c r="BY40" i="106"/>
  <c r="BY27" i="106"/>
  <c r="BY45" i="106"/>
  <c r="BY63" i="106" s="1"/>
  <c r="BY44" i="106"/>
  <c r="BY64" i="106" s="1"/>
  <c r="BY38" i="106"/>
  <c r="BY35" i="106"/>
  <c r="BY42" i="106"/>
  <c r="BY60" i="106" s="1"/>
  <c r="M34" i="106"/>
  <c r="M42" i="106"/>
  <c r="M60" i="106" s="1"/>
  <c r="M27" i="106"/>
  <c r="M45" i="106"/>
  <c r="M63" i="106" s="1"/>
  <c r="M38" i="106"/>
  <c r="M43" i="106"/>
  <c r="M61" i="106" s="1"/>
  <c r="M39" i="106"/>
  <c r="M37" i="106"/>
  <c r="M35" i="106"/>
  <c r="M36" i="106"/>
  <c r="M23" i="106"/>
  <c r="M55" i="106" s="1"/>
  <c r="M40" i="106"/>
  <c r="M44" i="106"/>
  <c r="M64" i="106" s="1"/>
  <c r="AN66" i="106"/>
  <c r="BK66" i="106"/>
  <c r="BZ66" i="106"/>
  <c r="N66" i="106"/>
  <c r="AC66" i="106"/>
  <c r="AR66" i="106"/>
  <c r="BO66" i="106"/>
  <c r="CL66" i="106"/>
  <c r="Z66" i="106"/>
  <c r="AW66" i="106"/>
  <c r="CL37" i="106"/>
  <c r="CL23" i="106"/>
  <c r="CL38" i="106"/>
  <c r="CL43" i="106"/>
  <c r="CL61" i="106" s="1"/>
  <c r="CL34" i="106"/>
  <c r="CL27" i="106"/>
  <c r="CL39" i="106"/>
  <c r="CL44" i="106"/>
  <c r="CL64" i="106" s="1"/>
  <c r="CL33" i="106"/>
  <c r="CL35" i="106"/>
  <c r="CL42" i="106"/>
  <c r="CL60" i="106" s="1"/>
  <c r="CL40" i="106"/>
  <c r="CL45" i="106"/>
  <c r="CL63" i="106" s="1"/>
  <c r="CL36" i="106"/>
  <c r="BT38" i="106"/>
  <c r="BT33" i="106"/>
  <c r="BT34" i="106"/>
  <c r="BT23" i="106"/>
  <c r="BT44" i="106"/>
  <c r="BT64" i="106" s="1"/>
  <c r="BT40" i="106"/>
  <c r="BT45" i="106"/>
  <c r="BT63" i="106" s="1"/>
  <c r="BT39" i="106"/>
  <c r="BT27" i="106"/>
  <c r="BT35" i="106"/>
  <c r="BT43" i="106"/>
  <c r="BT61" i="106" s="1"/>
  <c r="BT42" i="106"/>
  <c r="BT60" i="106" s="1"/>
  <c r="BT37" i="106"/>
  <c r="BT36" i="106"/>
  <c r="BI44" i="106"/>
  <c r="BI64" i="106" s="1"/>
  <c r="BI36" i="106"/>
  <c r="BI40" i="106"/>
  <c r="BI42" i="106"/>
  <c r="BI60" i="106" s="1"/>
  <c r="BI39" i="106"/>
  <c r="BI43" i="106"/>
  <c r="BI61" i="106" s="1"/>
  <c r="BI33" i="106"/>
  <c r="BI37" i="106"/>
  <c r="BI27" i="106"/>
  <c r="BI45" i="106"/>
  <c r="BI63" i="106" s="1"/>
  <c r="BI35" i="106"/>
  <c r="BI38" i="106"/>
  <c r="BI34" i="106"/>
  <c r="BI23" i="106"/>
  <c r="BH54" i="106"/>
  <c r="BD54" i="106"/>
  <c r="CA54" i="106"/>
  <c r="O54" i="106"/>
  <c r="AD54" i="106"/>
  <c r="AS54" i="106"/>
  <c r="BH36" i="106"/>
  <c r="BH43" i="106"/>
  <c r="BH61" i="106" s="1"/>
  <c r="BH45" i="106"/>
  <c r="BH63" i="106" s="1"/>
  <c r="BH37" i="106"/>
  <c r="BH44" i="106"/>
  <c r="BH64" i="106" s="1"/>
  <c r="BH38" i="106"/>
  <c r="BH39" i="106"/>
  <c r="BH33" i="106"/>
  <c r="BH23" i="106"/>
  <c r="BH55" i="106" s="1"/>
  <c r="BH35" i="106"/>
  <c r="BH27" i="106"/>
  <c r="BH42" i="106"/>
  <c r="BH60" i="106" s="1"/>
  <c r="BH34" i="106"/>
  <c r="BH40" i="106"/>
  <c r="BW34" i="106"/>
  <c r="BW36" i="106"/>
  <c r="BW39" i="106"/>
  <c r="BW33" i="106"/>
  <c r="BW43" i="106"/>
  <c r="BW61" i="106" s="1"/>
  <c r="BW44" i="106"/>
  <c r="BW64" i="106" s="1"/>
  <c r="BW38" i="106"/>
  <c r="BW23" i="106"/>
  <c r="BW45" i="106"/>
  <c r="BW63" i="106" s="1"/>
  <c r="BW37" i="106"/>
  <c r="BW42" i="106"/>
  <c r="BW60" i="106" s="1"/>
  <c r="BW35" i="106"/>
  <c r="BW27" i="106"/>
  <c r="BW40" i="106"/>
  <c r="K39" i="106"/>
  <c r="K34" i="106"/>
  <c r="K43" i="106"/>
  <c r="K61" i="106" s="1"/>
  <c r="K44" i="106"/>
  <c r="K64" i="106" s="1"/>
  <c r="K38" i="106"/>
  <c r="K42" i="106"/>
  <c r="K60" i="106" s="1"/>
  <c r="K37" i="106"/>
  <c r="K45" i="106"/>
  <c r="K63" i="106" s="1"/>
  <c r="K27" i="106"/>
  <c r="K40" i="106"/>
  <c r="K23" i="106"/>
  <c r="K35" i="106"/>
  <c r="K36" i="106"/>
  <c r="AH43" i="106"/>
  <c r="AH61" i="106" s="1"/>
  <c r="AH38" i="106"/>
  <c r="AH36" i="106"/>
  <c r="AH34" i="106"/>
  <c r="AH37" i="106"/>
  <c r="AH44" i="106"/>
  <c r="AH64" i="106" s="1"/>
  <c r="AH27" i="106"/>
  <c r="AH23" i="106"/>
  <c r="AH55" i="106" s="1"/>
  <c r="AH39" i="106"/>
  <c r="AH33" i="106"/>
  <c r="AH35" i="106"/>
  <c r="AH42" i="106"/>
  <c r="AH60" i="106" s="1"/>
  <c r="AH45" i="106"/>
  <c r="AH63" i="106" s="1"/>
  <c r="AH40" i="106"/>
  <c r="BE36" i="106"/>
  <c r="BE45" i="106"/>
  <c r="BE63" i="106" s="1"/>
  <c r="BE40" i="106"/>
  <c r="BE43" i="106"/>
  <c r="BE61" i="106" s="1"/>
  <c r="BE38" i="106"/>
  <c r="BE44" i="106"/>
  <c r="BE64" i="106" s="1"/>
  <c r="BE23" i="106"/>
  <c r="BE39" i="106"/>
  <c r="BE33" i="106"/>
  <c r="BE35" i="106"/>
  <c r="BE34" i="106"/>
  <c r="BE42" i="106"/>
  <c r="BE60" i="106" s="1"/>
  <c r="BE27" i="106"/>
  <c r="BE37" i="106"/>
  <c r="CB27" i="106"/>
  <c r="CB39" i="106"/>
  <c r="CB35" i="106"/>
  <c r="CB36" i="106"/>
  <c r="CB43" i="106"/>
  <c r="CB61" i="106" s="1"/>
  <c r="CB45" i="106"/>
  <c r="CB63" i="106" s="1"/>
  <c r="CB37" i="106"/>
  <c r="CB40" i="106"/>
  <c r="CB38" i="106"/>
  <c r="CB42" i="106"/>
  <c r="CB60" i="106" s="1"/>
  <c r="CB34" i="106"/>
  <c r="CB23" i="106"/>
  <c r="CB44" i="106"/>
  <c r="CB64" i="106" s="1"/>
  <c r="CB33" i="106"/>
  <c r="P27" i="106"/>
  <c r="P43" i="106"/>
  <c r="P61" i="106" s="1"/>
  <c r="P40" i="106"/>
  <c r="P37" i="106"/>
  <c r="P42" i="106"/>
  <c r="P60" i="106" s="1"/>
  <c r="P38" i="106"/>
  <c r="P45" i="106"/>
  <c r="P63" i="106" s="1"/>
  <c r="P34" i="106"/>
  <c r="P23" i="106"/>
  <c r="P55" i="106" s="1"/>
  <c r="P44" i="106"/>
  <c r="P64" i="106" s="1"/>
  <c r="P39" i="106"/>
  <c r="P35" i="106"/>
  <c r="P36" i="106"/>
  <c r="AM39" i="106"/>
  <c r="AM27" i="106"/>
  <c r="AM35" i="106"/>
  <c r="AM42" i="106"/>
  <c r="AM60" i="106" s="1"/>
  <c r="AM33" i="106"/>
  <c r="AM45" i="106"/>
  <c r="AM63" i="106" s="1"/>
  <c r="AM36" i="106"/>
  <c r="AM43" i="106"/>
  <c r="AM61" i="106" s="1"/>
  <c r="AM40" i="106"/>
  <c r="AM38" i="106"/>
  <c r="AM37" i="106"/>
  <c r="AM34" i="106"/>
  <c r="AM23" i="106"/>
  <c r="AM44" i="106"/>
  <c r="AM64" i="106" s="1"/>
  <c r="BB33" i="106"/>
  <c r="BB38" i="106"/>
  <c r="BB44" i="106"/>
  <c r="BB64" i="106" s="1"/>
  <c r="BB42" i="106"/>
  <c r="BB60" i="106" s="1"/>
  <c r="BB39" i="106"/>
  <c r="BB40" i="106"/>
  <c r="BB34" i="106"/>
  <c r="BB36" i="106"/>
  <c r="BB23" i="106"/>
  <c r="BB45" i="106"/>
  <c r="BB63" i="106" s="1"/>
  <c r="BB43" i="106"/>
  <c r="BB61" i="106" s="1"/>
  <c r="BB37" i="106"/>
  <c r="BB35" i="106"/>
  <c r="BB27" i="106"/>
  <c r="BQ42" i="106"/>
  <c r="BQ60" i="106" s="1"/>
  <c r="BQ36" i="106"/>
  <c r="BQ43" i="106"/>
  <c r="BQ61" i="106" s="1"/>
  <c r="BQ33" i="106"/>
  <c r="BQ37" i="106"/>
  <c r="BQ44" i="106"/>
  <c r="BQ64" i="106" s="1"/>
  <c r="BQ35" i="106"/>
  <c r="BQ38" i="106"/>
  <c r="BQ45" i="106"/>
  <c r="BQ63" i="106" s="1"/>
  <c r="BQ40" i="106"/>
  <c r="BQ39" i="106"/>
  <c r="BQ23" i="106"/>
  <c r="BQ34" i="106"/>
  <c r="BQ27" i="106"/>
  <c r="CM16" i="106"/>
  <c r="AF66" i="106"/>
  <c r="BC66" i="106"/>
  <c r="BR66" i="106"/>
  <c r="CG66" i="106"/>
  <c r="U66" i="106"/>
  <c r="AJ66" i="106"/>
  <c r="BG66" i="106"/>
  <c r="CD66" i="106"/>
  <c r="R66" i="106"/>
  <c r="AO66" i="106"/>
  <c r="CM19" i="106"/>
  <c r="E20" i="99"/>
  <c r="BK55" i="106" l="1"/>
  <c r="Q55" i="106"/>
  <c r="AI55" i="106"/>
  <c r="BT55" i="106"/>
  <c r="AC55" i="106"/>
  <c r="BN55" i="106"/>
  <c r="BW55" i="106"/>
  <c r="S55" i="106"/>
  <c r="AN55" i="106"/>
  <c r="AS55" i="106"/>
  <c r="CI55" i="106"/>
  <c r="BL55" i="106"/>
  <c r="BE55" i="106"/>
  <c r="CE55" i="106"/>
  <c r="CM35" i="106"/>
  <c r="BB41" i="106"/>
  <c r="BB62" i="106" s="1"/>
  <c r="BB65" i="106" s="1"/>
  <c r="BB67" i="106" s="1"/>
  <c r="AM55" i="106"/>
  <c r="AH41" i="106"/>
  <c r="AH62" i="106" s="1"/>
  <c r="AH65" i="106" s="1"/>
  <c r="AH67" i="106" s="1"/>
  <c r="AH68" i="106" s="1"/>
  <c r="BH41" i="106"/>
  <c r="BH62" i="106" s="1"/>
  <c r="BH65" i="106" s="1"/>
  <c r="BH67" i="106" s="1"/>
  <c r="BH68" i="106" s="1"/>
  <c r="CL41" i="106"/>
  <c r="CL62" i="106" s="1"/>
  <c r="CL65" i="106" s="1"/>
  <c r="CL67" i="106" s="1"/>
  <c r="BJ41" i="106"/>
  <c r="BJ62" i="106" s="1"/>
  <c r="BJ65" i="106" s="1"/>
  <c r="BJ67" i="106" s="1"/>
  <c r="CE41" i="106"/>
  <c r="CE62" i="106" s="1"/>
  <c r="CE65" i="106" s="1"/>
  <c r="CE67" i="106" s="1"/>
  <c r="CE68" i="106" s="1"/>
  <c r="AF41" i="106"/>
  <c r="AF62" i="106" s="1"/>
  <c r="AX41" i="106"/>
  <c r="AX62" i="106" s="1"/>
  <c r="BZ41" i="106"/>
  <c r="BZ62" i="106" s="1"/>
  <c r="BZ65" i="106" s="1"/>
  <c r="BZ67" i="106" s="1"/>
  <c r="BD41" i="106"/>
  <c r="BD62" i="106" s="1"/>
  <c r="R55" i="106"/>
  <c r="CD41" i="106"/>
  <c r="CD62" i="106" s="1"/>
  <c r="CD65" i="106" s="1"/>
  <c r="CD67" i="106" s="1"/>
  <c r="H41" i="106"/>
  <c r="H62" i="106" s="1"/>
  <c r="H65" i="106" s="1"/>
  <c r="H67" i="106" s="1"/>
  <c r="U55" i="106"/>
  <c r="J55" i="106"/>
  <c r="Z55" i="106"/>
  <c r="T55" i="106"/>
  <c r="BQ41" i="106"/>
  <c r="BQ62" i="106" s="1"/>
  <c r="CB55" i="106"/>
  <c r="BI41" i="106"/>
  <c r="BI62" i="106" s="1"/>
  <c r="BT41" i="106"/>
  <c r="BT62" i="106" s="1"/>
  <c r="BT65" i="106" s="1"/>
  <c r="BT67" i="106" s="1"/>
  <c r="BT68" i="106" s="1"/>
  <c r="BY55" i="106"/>
  <c r="BJ55" i="106"/>
  <c r="BC55" i="106"/>
  <c r="BX55" i="106"/>
  <c r="BZ55" i="106"/>
  <c r="AI41" i="106"/>
  <c r="AI62" i="106" s="1"/>
  <c r="AI65" i="106" s="1"/>
  <c r="AI67" i="106" s="1"/>
  <c r="AI68" i="106" s="1"/>
  <c r="AS41" i="106"/>
  <c r="AS62" i="106" s="1"/>
  <c r="AS65" i="106" s="1"/>
  <c r="AS67" i="106" s="1"/>
  <c r="AS68" i="106" s="1"/>
  <c r="AG41" i="106"/>
  <c r="AG62" i="106" s="1"/>
  <c r="AG65" i="106" s="1"/>
  <c r="AG67" i="106" s="1"/>
  <c r="AG68" i="106" s="1"/>
  <c r="AL55" i="106"/>
  <c r="AU55" i="106"/>
  <c r="AX65" i="106"/>
  <c r="AX67" i="106" s="1"/>
  <c r="CM38" i="106"/>
  <c r="CM64" i="106"/>
  <c r="CM44" i="106"/>
  <c r="AM41" i="106"/>
  <c r="AM62" i="106" s="1"/>
  <c r="AM65" i="106" s="1"/>
  <c r="AM67" i="106" s="1"/>
  <c r="AT41" i="106"/>
  <c r="AT62" i="106" s="1"/>
  <c r="AT65" i="106" s="1"/>
  <c r="AT67" i="106" s="1"/>
  <c r="AT55" i="106"/>
  <c r="BR41" i="106"/>
  <c r="BR62" i="106" s="1"/>
  <c r="BR65" i="106" s="1"/>
  <c r="BR67" i="106" s="1"/>
  <c r="BR68" i="106" s="1"/>
  <c r="BC41" i="106"/>
  <c r="BC62" i="106" s="1"/>
  <c r="BC65" i="106" s="1"/>
  <c r="BC67" i="106" s="1"/>
  <c r="BC68" i="106" s="1"/>
  <c r="AA41" i="106"/>
  <c r="AA62" i="106" s="1"/>
  <c r="CC41" i="106"/>
  <c r="CC62" i="106" s="1"/>
  <c r="CC65" i="106" s="1"/>
  <c r="CC67" i="106" s="1"/>
  <c r="CM33" i="106"/>
  <c r="AZ55" i="106"/>
  <c r="CM66" i="106"/>
  <c r="AV55" i="106"/>
  <c r="CK41" i="106"/>
  <c r="CK62" i="106" s="1"/>
  <c r="AW41" i="106"/>
  <c r="AW62" i="106" s="1"/>
  <c r="AD41" i="106"/>
  <c r="AD62" i="106" s="1"/>
  <c r="CA41" i="106"/>
  <c r="CA62" i="106" s="1"/>
  <c r="CA65" i="106" s="1"/>
  <c r="CA67" i="106" s="1"/>
  <c r="AY41" i="106"/>
  <c r="AY62" i="106" s="1"/>
  <c r="AY65" i="106" s="1"/>
  <c r="AY67" i="106" s="1"/>
  <c r="AY68" i="106" s="1"/>
  <c r="BL41" i="106"/>
  <c r="BL62" i="106" s="1"/>
  <c r="BL65" i="106" s="1"/>
  <c r="BL67" i="106" s="1"/>
  <c r="BL68" i="106" s="1"/>
  <c r="CM23" i="106"/>
  <c r="CM37" i="106"/>
  <c r="D56" i="86"/>
  <c r="D84" i="86"/>
  <c r="D83" i="86"/>
  <c r="D57" i="86"/>
  <c r="P41" i="106"/>
  <c r="P62" i="106" s="1"/>
  <c r="P65" i="106" s="1"/>
  <c r="P67" i="106" s="1"/>
  <c r="P68" i="106" s="1"/>
  <c r="S41" i="106"/>
  <c r="S62" i="106" s="1"/>
  <c r="S65" i="106" s="1"/>
  <c r="S67" i="106" s="1"/>
  <c r="S68" i="106" s="1"/>
  <c r="Z41" i="106"/>
  <c r="Z62" i="106" s="1"/>
  <c r="Z65" i="106" s="1"/>
  <c r="Z67" i="106" s="1"/>
  <c r="BU55" i="106"/>
  <c r="AA65" i="106"/>
  <c r="AA67" i="106" s="1"/>
  <c r="L41" i="106"/>
  <c r="L62" i="106" s="1"/>
  <c r="L65" i="106" s="1"/>
  <c r="L67" i="106" s="1"/>
  <c r="BK41" i="106"/>
  <c r="BK62" i="106" s="1"/>
  <c r="AE41" i="106"/>
  <c r="AE62" i="106" s="1"/>
  <c r="AE65" i="106" s="1"/>
  <c r="AE67" i="106" s="1"/>
  <c r="D85" i="86"/>
  <c r="D72" i="86"/>
  <c r="D58" i="86"/>
  <c r="D42" i="86"/>
  <c r="V55" i="106"/>
  <c r="V41" i="106"/>
  <c r="V62" i="106" s="1"/>
  <c r="V65" i="106" s="1"/>
  <c r="V67" i="106" s="1"/>
  <c r="AQ41" i="106"/>
  <c r="AQ62" i="106" s="1"/>
  <c r="AQ65" i="106" s="1"/>
  <c r="AQ67" i="106" s="1"/>
  <c r="AQ68" i="106" s="1"/>
  <c r="AD55" i="106"/>
  <c r="J41" i="106"/>
  <c r="J62" i="106" s="1"/>
  <c r="J65" i="106" s="1"/>
  <c r="J67" i="106" s="1"/>
  <c r="AL41" i="106"/>
  <c r="AL62" i="106" s="1"/>
  <c r="AL65" i="106" s="1"/>
  <c r="AL67" i="106" s="1"/>
  <c r="AL68" i="106" s="1"/>
  <c r="AR41" i="106"/>
  <c r="AR62" i="106" s="1"/>
  <c r="AR65" i="106" s="1"/>
  <c r="AR67" i="106" s="1"/>
  <c r="AR68" i="106" s="1"/>
  <c r="AU41" i="106"/>
  <c r="AU62" i="106" s="1"/>
  <c r="AU65" i="106" s="1"/>
  <c r="AU67" i="106" s="1"/>
  <c r="CM43" i="106"/>
  <c r="CM61" i="106"/>
  <c r="BE41" i="106"/>
  <c r="BE62" i="106" s="1"/>
  <c r="BE65" i="106" s="1"/>
  <c r="BE67" i="106" s="1"/>
  <c r="BI55" i="106"/>
  <c r="CL55" i="106"/>
  <c r="CL68" i="106" s="1"/>
  <c r="M41" i="106"/>
  <c r="M62" i="106" s="1"/>
  <c r="M65" i="106" s="1"/>
  <c r="M67" i="106" s="1"/>
  <c r="M68" i="106" s="1"/>
  <c r="BM41" i="106"/>
  <c r="BM62" i="106" s="1"/>
  <c r="BM65" i="106" s="1"/>
  <c r="BM67" i="106" s="1"/>
  <c r="CG41" i="106"/>
  <c r="CG62" i="106" s="1"/>
  <c r="CG65" i="106" s="1"/>
  <c r="CG67" i="106" s="1"/>
  <c r="CG68" i="106" s="1"/>
  <c r="AF65" i="106"/>
  <c r="AF67" i="106" s="1"/>
  <c r="I41" i="106"/>
  <c r="I62" i="106" s="1"/>
  <c r="AX55" i="106"/>
  <c r="N41" i="106"/>
  <c r="N62" i="106" s="1"/>
  <c r="N65" i="106" s="1"/>
  <c r="N67" i="106" s="1"/>
  <c r="AK41" i="106"/>
  <c r="AK62" i="106" s="1"/>
  <c r="AK65" i="106" s="1"/>
  <c r="AK67" i="106" s="1"/>
  <c r="AK55" i="106"/>
  <c r="Y41" i="106"/>
  <c r="Y62" i="106" s="1"/>
  <c r="Y65" i="106" s="1"/>
  <c r="Y67" i="106" s="1"/>
  <c r="Y68" i="106" s="1"/>
  <c r="AB41" i="106"/>
  <c r="AB62" i="106" s="1"/>
  <c r="AB65" i="106" s="1"/>
  <c r="AB67" i="106" s="1"/>
  <c r="BD65" i="106"/>
  <c r="BD67" i="106" s="1"/>
  <c r="BD68" i="106" s="1"/>
  <c r="BV41" i="106"/>
  <c r="BV62" i="106" s="1"/>
  <c r="BV65" i="106" s="1"/>
  <c r="BV67" i="106" s="1"/>
  <c r="CM36" i="106"/>
  <c r="AP55" i="106"/>
  <c r="AN41" i="106"/>
  <c r="AN62" i="106" s="1"/>
  <c r="AN65" i="106" s="1"/>
  <c r="AN67" i="106" s="1"/>
  <c r="AN68" i="106" s="1"/>
  <c r="BF41" i="106"/>
  <c r="BF62" i="106" s="1"/>
  <c r="BF65" i="106" s="1"/>
  <c r="BF67" i="106" s="1"/>
  <c r="AZ41" i="106"/>
  <c r="AZ62" i="106" s="1"/>
  <c r="AZ65" i="106" s="1"/>
  <c r="AZ67" i="106" s="1"/>
  <c r="BN41" i="106"/>
  <c r="BN62" i="106" s="1"/>
  <c r="BN65" i="106" s="1"/>
  <c r="BN67" i="106" s="1"/>
  <c r="AD65" i="106"/>
  <c r="AD67" i="106" s="1"/>
  <c r="AG55" i="106"/>
  <c r="BO55" i="106"/>
  <c r="CI41" i="106"/>
  <c r="CI62" i="106" s="1"/>
  <c r="CI65" i="106" s="1"/>
  <c r="CI67" i="106" s="1"/>
  <c r="CI68" i="106" s="1"/>
  <c r="BG41" i="106"/>
  <c r="BG62" i="106" s="1"/>
  <c r="BG65" i="106" s="1"/>
  <c r="BG67" i="106" s="1"/>
  <c r="BG55" i="106"/>
  <c r="CM39" i="106"/>
  <c r="CM63" i="106"/>
  <c r="CM45" i="106"/>
  <c r="BQ55" i="106"/>
  <c r="CB41" i="106"/>
  <c r="CB62" i="106" s="1"/>
  <c r="CB65" i="106" s="1"/>
  <c r="CB67" i="106" s="1"/>
  <c r="BI65" i="106"/>
  <c r="BI67" i="106" s="1"/>
  <c r="BY41" i="106"/>
  <c r="BY62" i="106" s="1"/>
  <c r="BY65" i="106" s="1"/>
  <c r="BY67" i="106" s="1"/>
  <c r="BM55" i="106"/>
  <c r="AP41" i="106"/>
  <c r="AP62" i="106" s="1"/>
  <c r="AP65" i="106" s="1"/>
  <c r="AP67" i="106" s="1"/>
  <c r="BP41" i="106"/>
  <c r="BP62" i="106" s="1"/>
  <c r="BP65" i="106" s="1"/>
  <c r="BP67" i="106" s="1"/>
  <c r="BU41" i="106"/>
  <c r="BU62" i="106" s="1"/>
  <c r="BU65" i="106" s="1"/>
  <c r="BU67" i="106" s="1"/>
  <c r="CM54" i="106"/>
  <c r="AC41" i="106"/>
  <c r="AC62" i="106" s="1"/>
  <c r="AC65" i="106" s="1"/>
  <c r="AC67" i="106" s="1"/>
  <c r="AC68" i="106" s="1"/>
  <c r="BK65" i="106"/>
  <c r="BK67" i="106" s="1"/>
  <c r="BK68" i="106" s="1"/>
  <c r="CC55" i="106"/>
  <c r="BF55" i="106"/>
  <c r="CF41" i="106"/>
  <c r="CF62" i="106" s="1"/>
  <c r="CF65" i="106" s="1"/>
  <c r="CF67" i="106" s="1"/>
  <c r="CF68" i="106" s="1"/>
  <c r="AE55" i="106"/>
  <c r="BS41" i="106"/>
  <c r="BS62" i="106" s="1"/>
  <c r="BS65" i="106" s="1"/>
  <c r="BS67" i="106" s="1"/>
  <c r="AB55" i="106"/>
  <c r="AW55" i="106"/>
  <c r="AW65" i="106"/>
  <c r="AW67" i="106" s="1"/>
  <c r="O41" i="106"/>
  <c r="O62" i="106" s="1"/>
  <c r="O65" i="106" s="1"/>
  <c r="O67" i="106" s="1"/>
  <c r="O68" i="106" s="1"/>
  <c r="BO41" i="106"/>
  <c r="BO62" i="106" s="1"/>
  <c r="BO65" i="106" s="1"/>
  <c r="BO67" i="106" s="1"/>
  <c r="BA41" i="106"/>
  <c r="BA62" i="106" s="1"/>
  <c r="BA65" i="106" s="1"/>
  <c r="BA67" i="106" s="1"/>
  <c r="AO41" i="106"/>
  <c r="AO62" i="106" s="1"/>
  <c r="AO65" i="106" s="1"/>
  <c r="AO67" i="106" s="1"/>
  <c r="R41" i="106"/>
  <c r="R62" i="106" s="1"/>
  <c r="R65" i="106" s="1"/>
  <c r="R67" i="106" s="1"/>
  <c r="BQ65" i="106"/>
  <c r="BQ67" i="106" s="1"/>
  <c r="CM27" i="106"/>
  <c r="CM40" i="106"/>
  <c r="BB55" i="106"/>
  <c r="BB68" i="106" s="1"/>
  <c r="K55" i="106"/>
  <c r="BW41" i="106"/>
  <c r="BW62" i="106" s="1"/>
  <c r="BW65" i="106" s="1"/>
  <c r="BW67" i="106" s="1"/>
  <c r="BW68" i="106" s="1"/>
  <c r="X55" i="106"/>
  <c r="BP55" i="106"/>
  <c r="U41" i="106"/>
  <c r="U62" i="106" s="1"/>
  <c r="U65" i="106" s="1"/>
  <c r="U67" i="106" s="1"/>
  <c r="U68" i="106" s="1"/>
  <c r="AA55" i="106"/>
  <c r="L55" i="106"/>
  <c r="N55" i="106"/>
  <c r="T41" i="106"/>
  <c r="T62" i="106" s="1"/>
  <c r="T65" i="106" s="1"/>
  <c r="T67" i="106" s="1"/>
  <c r="BS55" i="106"/>
  <c r="AV41" i="106"/>
  <c r="AV62" i="106" s="1"/>
  <c r="AV65" i="106" s="1"/>
  <c r="AV67" i="106" s="1"/>
  <c r="CK65" i="106"/>
  <c r="CK67" i="106" s="1"/>
  <c r="CK68" i="106" s="1"/>
  <c r="CA55" i="106"/>
  <c r="W41" i="106"/>
  <c r="W62" i="106" s="1"/>
  <c r="W65" i="106" s="1"/>
  <c r="W67" i="106" s="1"/>
  <c r="W68" i="106" s="1"/>
  <c r="CD55" i="106"/>
  <c r="CD68" i="106" s="1"/>
  <c r="CM34" i="106"/>
  <c r="CM42" i="106"/>
  <c r="K41" i="106"/>
  <c r="K62" i="106" s="1"/>
  <c r="K65" i="106" s="1"/>
  <c r="K67" i="106" s="1"/>
  <c r="X41" i="106"/>
  <c r="X62" i="106" s="1"/>
  <c r="X65" i="106" s="1"/>
  <c r="X67" i="106" s="1"/>
  <c r="CJ41" i="106"/>
  <c r="CJ62" i="106" s="1"/>
  <c r="CJ65" i="106" s="1"/>
  <c r="CJ67" i="106" s="1"/>
  <c r="CJ68" i="106" s="1"/>
  <c r="AF55" i="106"/>
  <c r="I65" i="106"/>
  <c r="I67" i="106" s="1"/>
  <c r="I68" i="106" s="1"/>
  <c r="BX41" i="106"/>
  <c r="BX62" i="106" s="1"/>
  <c r="BX65" i="106" s="1"/>
  <c r="BX67" i="106" s="1"/>
  <c r="Q41" i="106"/>
  <c r="Q62" i="106" s="1"/>
  <c r="Q65" i="106" s="1"/>
  <c r="Q67" i="106" s="1"/>
  <c r="Q68" i="106" s="1"/>
  <c r="CH41" i="106"/>
  <c r="CH62" i="106" s="1"/>
  <c r="CH65" i="106" s="1"/>
  <c r="CH67" i="106" s="1"/>
  <c r="CH68" i="106" s="1"/>
  <c r="BV55" i="106"/>
  <c r="AJ41" i="106"/>
  <c r="AJ62" i="106" s="1"/>
  <c r="AJ65" i="106" s="1"/>
  <c r="AJ67" i="106" s="1"/>
  <c r="AJ68" i="106" s="1"/>
  <c r="BA55" i="106"/>
  <c r="AO55" i="106"/>
  <c r="H55" i="106"/>
  <c r="BN68" i="106" l="1"/>
  <c r="BU68" i="106"/>
  <c r="BJ68" i="106"/>
  <c r="BI68" i="106"/>
  <c r="BE68" i="106"/>
  <c r="BQ68" i="106"/>
  <c r="BY68" i="106"/>
  <c r="J68" i="106"/>
  <c r="AU68" i="106"/>
  <c r="AV68" i="106"/>
  <c r="K68" i="106"/>
  <c r="Z68" i="106"/>
  <c r="AB68" i="106"/>
  <c r="AW68" i="106"/>
  <c r="AT68" i="106"/>
  <c r="BX68" i="106"/>
  <c r="CB68" i="106"/>
  <c r="BZ68" i="106"/>
  <c r="R68" i="106"/>
  <c r="T68" i="106"/>
  <c r="AP68" i="106"/>
  <c r="X68" i="106"/>
  <c r="BO68" i="106"/>
  <c r="AM68" i="106"/>
  <c r="AK68" i="106"/>
  <c r="D60" i="86"/>
  <c r="BS68" i="106"/>
  <c r="BA68" i="106"/>
  <c r="N68" i="106"/>
  <c r="AF68" i="106"/>
  <c r="AZ68" i="106"/>
  <c r="AE68" i="106"/>
  <c r="BG68" i="106"/>
  <c r="BM68" i="106"/>
  <c r="CA68" i="106"/>
  <c r="CC68" i="106"/>
  <c r="AO68" i="106"/>
  <c r="BF68" i="106"/>
  <c r="V68" i="106"/>
  <c r="L68" i="106"/>
  <c r="AA68" i="106"/>
  <c r="D86" i="86"/>
  <c r="CM55" i="106"/>
  <c r="CM60" i="106"/>
  <c r="BP68" i="106"/>
  <c r="BV68" i="106"/>
  <c r="H68" i="106"/>
  <c r="CM62" i="106"/>
  <c r="CM41" i="106"/>
  <c r="AD68" i="106"/>
  <c r="AX68" i="106"/>
  <c r="A1" i="100" l="1"/>
  <c r="E5" i="100"/>
  <c r="E6" i="100"/>
  <c r="F8" i="100"/>
  <c r="G8" i="100" s="1"/>
  <c r="H8" i="100" s="1"/>
  <c r="I8" i="100" s="1"/>
  <c r="J8" i="100" s="1"/>
  <c r="K8" i="100" s="1"/>
  <c r="L8" i="100" s="1"/>
  <c r="M8" i="100" s="1"/>
  <c r="N8" i="100" s="1"/>
  <c r="O8" i="100" s="1"/>
  <c r="P8" i="100" s="1"/>
  <c r="Q8" i="100" s="1"/>
  <c r="R8" i="100" s="1"/>
  <c r="S8" i="100" s="1"/>
  <c r="T8" i="100" s="1"/>
  <c r="U8" i="100" s="1"/>
  <c r="V8" i="100" s="1"/>
  <c r="W8" i="100" s="1"/>
  <c r="X8" i="100" s="1"/>
  <c r="E11" i="100"/>
  <c r="A22" i="100"/>
  <c r="B25" i="100"/>
  <c r="B26" i="100"/>
  <c r="E26" i="100" s="1"/>
  <c r="C27" i="100"/>
  <c r="E27" i="100" s="1"/>
  <c r="B28" i="100"/>
  <c r="C28" i="100"/>
  <c r="F29" i="100"/>
  <c r="G29" i="100" s="1"/>
  <c r="H29" i="100" s="1"/>
  <c r="I29" i="100" s="1"/>
  <c r="J29" i="100" s="1"/>
  <c r="K29" i="100" s="1"/>
  <c r="L29" i="100" s="1"/>
  <c r="M29" i="100" s="1"/>
  <c r="N29" i="100" s="1"/>
  <c r="O29" i="100" s="1"/>
  <c r="P29" i="100" s="1"/>
  <c r="Q29" i="100" s="1"/>
  <c r="R29" i="100" s="1"/>
  <c r="S29" i="100" s="1"/>
  <c r="T29" i="100" s="1"/>
  <c r="U29" i="100" s="1"/>
  <c r="V29" i="100" s="1"/>
  <c r="W29" i="100" s="1"/>
  <c r="X29" i="100" s="1"/>
  <c r="E32" i="100"/>
  <c r="A43" i="100"/>
  <c r="E46" i="100"/>
  <c r="B47" i="100"/>
  <c r="F48" i="100"/>
  <c r="G48" i="100" s="1"/>
  <c r="H48" i="100" s="1"/>
  <c r="I48" i="100" s="1"/>
  <c r="J48" i="100" s="1"/>
  <c r="K48" i="100" s="1"/>
  <c r="L48" i="100" s="1"/>
  <c r="M48" i="100" s="1"/>
  <c r="N48" i="100" s="1"/>
  <c r="O48" i="100" s="1"/>
  <c r="P48" i="100" s="1"/>
  <c r="Q48" i="100" s="1"/>
  <c r="R48" i="100" s="1"/>
  <c r="S48" i="100" s="1"/>
  <c r="T48" i="100" s="1"/>
  <c r="U48" i="100" s="1"/>
  <c r="V48" i="100" s="1"/>
  <c r="W48" i="100" s="1"/>
  <c r="X48" i="100" s="1"/>
  <c r="Y48" i="100" s="1"/>
  <c r="Z48" i="100" s="1"/>
  <c r="AA48" i="100" s="1"/>
  <c r="AB48" i="100" s="1"/>
  <c r="AC48" i="100" s="1"/>
  <c r="AD48" i="100" s="1"/>
  <c r="E49" i="100"/>
  <c r="E51" i="100"/>
  <c r="B65" i="100"/>
  <c r="B107" i="100" s="1"/>
  <c r="E66" i="100"/>
  <c r="C67" i="100"/>
  <c r="F68" i="100"/>
  <c r="E71" i="100"/>
  <c r="E85" i="100"/>
  <c r="E86" i="100"/>
  <c r="E87" i="100"/>
  <c r="F88" i="100"/>
  <c r="G88" i="100" s="1"/>
  <c r="H88" i="100" s="1"/>
  <c r="I88" i="100" s="1"/>
  <c r="J88" i="100" s="1"/>
  <c r="K88" i="100" s="1"/>
  <c r="L88" i="100" s="1"/>
  <c r="M88" i="100" s="1"/>
  <c r="N88" i="100" s="1"/>
  <c r="O88" i="100" s="1"/>
  <c r="P88" i="100" s="1"/>
  <c r="Q88" i="100" s="1"/>
  <c r="R88" i="100" s="1"/>
  <c r="S88" i="100" s="1"/>
  <c r="T88" i="100" s="1"/>
  <c r="U88" i="100" s="1"/>
  <c r="V88" i="100" s="1"/>
  <c r="W88" i="100" s="1"/>
  <c r="X88" i="100" s="1"/>
  <c r="E91" i="100"/>
  <c r="A9" i="98" l="1" a="1"/>
  <c r="E12" i="98" s="1"/>
  <c r="R25" i="105"/>
  <c r="Z25" i="105"/>
  <c r="J25" i="105"/>
  <c r="K25" i="105"/>
  <c r="T25" i="105"/>
  <c r="Y25" i="105"/>
  <c r="X25" i="105"/>
  <c r="S25" i="105"/>
  <c r="L25" i="105"/>
  <c r="H25" i="105"/>
  <c r="W25" i="105"/>
  <c r="M25" i="105"/>
  <c r="U25" i="105"/>
  <c r="N25" i="105"/>
  <c r="V25" i="105"/>
  <c r="Q25" i="105"/>
  <c r="O25" i="105"/>
  <c r="P25" i="105"/>
  <c r="I25" i="105"/>
  <c r="E67" i="100"/>
  <c r="C109" i="100"/>
  <c r="E109" i="100" s="1"/>
  <c r="B68" i="86"/>
  <c r="D68" i="86"/>
  <c r="B38" i="86"/>
  <c r="D38" i="86"/>
  <c r="CM65" i="106"/>
  <c r="A14" i="98"/>
  <c r="E47" i="100"/>
  <c r="F47" i="100" s="1"/>
  <c r="F46" i="100"/>
  <c r="G68" i="100"/>
  <c r="I23" i="105"/>
  <c r="A1" i="99"/>
  <c r="E28" i="100"/>
  <c r="E84" i="100"/>
  <c r="F84" i="100" s="1"/>
  <c r="G84" i="100" s="1"/>
  <c r="H84" i="100" s="1"/>
  <c r="I84" i="100" s="1"/>
  <c r="J84" i="100" s="1"/>
  <c r="K84" i="100" s="1"/>
  <c r="L84" i="100" s="1"/>
  <c r="M84" i="100" s="1"/>
  <c r="N84" i="100" s="1"/>
  <c r="O84" i="100" s="1"/>
  <c r="P84" i="100" s="1"/>
  <c r="Q84" i="100" s="1"/>
  <c r="R84" i="100" s="1"/>
  <c r="S84" i="100" s="1"/>
  <c r="T84" i="100" s="1"/>
  <c r="U84" i="100" s="1"/>
  <c r="V84" i="100" s="1"/>
  <c r="W84" i="100" s="1"/>
  <c r="X84" i="100" s="1"/>
  <c r="G47" i="100"/>
  <c r="G45" i="100" s="1"/>
  <c r="I13" i="98"/>
  <c r="B33" i="60"/>
  <c r="B11" i="97" s="1"/>
  <c r="B14" i="59"/>
  <c r="C12" i="98" l="1"/>
  <c r="A9" i="98"/>
  <c r="C9" i="98" s="1"/>
  <c r="F45" i="100"/>
  <c r="E45" i="100"/>
  <c r="C14" i="98"/>
  <c r="G3" i="99"/>
  <c r="D21" i="99"/>
  <c r="CM67" i="106"/>
  <c r="D40" i="86"/>
  <c r="D41" i="86"/>
  <c r="D71" i="86"/>
  <c r="D70" i="86"/>
  <c r="D74" i="86" s="1"/>
  <c r="E21" i="99"/>
  <c r="B13" i="99"/>
  <c r="C8" i="103"/>
  <c r="C8" i="102"/>
  <c r="C8" i="101"/>
  <c r="H68" i="100"/>
  <c r="J23" i="105"/>
  <c r="H47" i="100"/>
  <c r="H45" i="100"/>
  <c r="I47" i="100"/>
  <c r="D44" i="86" l="1"/>
  <c r="CM68" i="106"/>
  <c r="I68" i="100"/>
  <c r="K23" i="105"/>
  <c r="J47" i="100"/>
  <c r="I45" i="100"/>
  <c r="J68" i="100" l="1"/>
  <c r="L23" i="105"/>
  <c r="K47" i="100"/>
  <c r="J45" i="100"/>
  <c r="K68" i="100" l="1"/>
  <c r="M23" i="105"/>
  <c r="L47" i="100"/>
  <c r="K45" i="100"/>
  <c r="L68" i="100" l="1"/>
  <c r="N23" i="105"/>
  <c r="M47" i="100"/>
  <c r="L45" i="100"/>
  <c r="M68" i="100" l="1"/>
  <c r="O23" i="105"/>
  <c r="N47" i="100"/>
  <c r="M45" i="100"/>
  <c r="N68" i="100" l="1"/>
  <c r="P23" i="105"/>
  <c r="O47" i="100"/>
  <c r="N45" i="100"/>
  <c r="O68" i="100" l="1"/>
  <c r="Q23" i="105"/>
  <c r="O45" i="100"/>
  <c r="P47" i="100"/>
  <c r="P68" i="100" l="1"/>
  <c r="R23" i="105"/>
  <c r="P45" i="100"/>
  <c r="Q47" i="100"/>
  <c r="Q68" i="100" l="1"/>
  <c r="S23" i="105"/>
  <c r="R47" i="100"/>
  <c r="Q45" i="100"/>
  <c r="R68" i="100" l="1"/>
  <c r="T23" i="105"/>
  <c r="S47" i="100"/>
  <c r="R45" i="100"/>
  <c r="S68" i="100" l="1"/>
  <c r="U23" i="105"/>
  <c r="T47" i="100"/>
  <c r="S45" i="100"/>
  <c r="T68" i="100" l="1"/>
  <c r="V23" i="105"/>
  <c r="U47" i="100"/>
  <c r="T45" i="100"/>
  <c r="U68" i="100" l="1"/>
  <c r="W23" i="105"/>
  <c r="V47" i="100"/>
  <c r="U45" i="100"/>
  <c r="V68" i="100" l="1"/>
  <c r="X23" i="105"/>
  <c r="W47" i="100"/>
  <c r="V45" i="100"/>
  <c r="W68" i="100" l="1"/>
  <c r="Y23" i="105"/>
  <c r="W45" i="100"/>
  <c r="X47" i="100"/>
  <c r="X68" i="100" l="1"/>
  <c r="Z23" i="105"/>
  <c r="X45" i="100"/>
  <c r="Y47" i="100"/>
  <c r="Z47" i="100" l="1"/>
  <c r="Y45" i="100"/>
  <c r="E15" i="51"/>
  <c r="H15" i="94"/>
  <c r="C8" i="92" s="1"/>
  <c r="H17" i="94"/>
  <c r="C10" i="92" s="1"/>
  <c r="H27" i="94"/>
  <c r="I27" i="94" s="1"/>
  <c r="J27" i="94" s="1"/>
  <c r="K27" i="94" s="1"/>
  <c r="L27" i="94" s="1"/>
  <c r="M27" i="94" s="1"/>
  <c r="N27" i="94" s="1"/>
  <c r="O27" i="94" s="1"/>
  <c r="P27" i="94" s="1"/>
  <c r="Q27" i="94" s="1"/>
  <c r="R27" i="94" s="1"/>
  <c r="S27" i="94" s="1"/>
  <c r="T27" i="94" s="1"/>
  <c r="U27" i="94" s="1"/>
  <c r="V27" i="94" s="1"/>
  <c r="W27" i="94" s="1"/>
  <c r="X27" i="94" s="1"/>
  <c r="Y27" i="94" s="1"/>
  <c r="Z27" i="94" s="1"/>
  <c r="AA47" i="100" l="1"/>
  <c r="Z45" i="100"/>
  <c r="G10" i="92"/>
  <c r="D10" i="92"/>
  <c r="E10" i="92"/>
  <c r="C6" i="93"/>
  <c r="E6" i="93" s="1"/>
  <c r="F6" i="93" s="1"/>
  <c r="G6" i="93" s="1"/>
  <c r="H6" i="93" s="1"/>
  <c r="F10" i="92"/>
  <c r="F8" i="92"/>
  <c r="G8" i="92"/>
  <c r="E8" i="92"/>
  <c r="D8" i="92"/>
  <c r="H11" i="94"/>
  <c r="H10" i="94" s="1"/>
  <c r="H48" i="94" s="1"/>
  <c r="B5" i="91" l="1"/>
  <c r="C5" i="92" s="1"/>
  <c r="F5" i="92" s="1"/>
  <c r="AB47" i="100"/>
  <c r="AA45" i="100"/>
  <c r="D5" i="92"/>
  <c r="C3" i="93"/>
  <c r="H14" i="94"/>
  <c r="C7" i="92" s="1"/>
  <c r="AC47" i="100" l="1"/>
  <c r="AB45" i="100"/>
  <c r="F3" i="93"/>
  <c r="H3" i="93"/>
  <c r="E3" i="93"/>
  <c r="G3" i="93"/>
  <c r="E7" i="92"/>
  <c r="D7" i="92"/>
  <c r="C5" i="93"/>
  <c r="F7" i="92"/>
  <c r="AC45" i="100" l="1"/>
  <c r="AD47" i="100"/>
  <c r="AD45" i="100" s="1"/>
  <c r="G5" i="93"/>
  <c r="E5" i="93"/>
  <c r="H5" i="93"/>
  <c r="F5" i="93" l="1"/>
  <c r="C42" i="86"/>
  <c r="C40" i="86"/>
  <c r="E21" i="90"/>
  <c r="D21" i="90"/>
  <c r="H21" i="90" s="1"/>
  <c r="F21" i="90" s="1"/>
  <c r="E20" i="90"/>
  <c r="D20" i="90"/>
  <c r="H20" i="90" s="1"/>
  <c r="F20" i="90" s="1"/>
  <c r="H18" i="90"/>
  <c r="F18" i="90"/>
  <c r="H17" i="90"/>
  <c r="F17" i="90"/>
  <c r="H16" i="90"/>
  <c r="F16" i="90"/>
  <c r="H15" i="90"/>
  <c r="G15" i="90"/>
  <c r="F15" i="90"/>
  <c r="C15" i="90"/>
  <c r="H14" i="90"/>
  <c r="F14" i="90"/>
  <c r="H13" i="90"/>
  <c r="G13" i="90"/>
  <c r="F13" i="90"/>
  <c r="C13" i="90"/>
  <c r="H12" i="90"/>
  <c r="G12" i="90"/>
  <c r="F12" i="90"/>
  <c r="C12" i="90"/>
  <c r="H11" i="90"/>
  <c r="G11" i="90"/>
  <c r="F11" i="90"/>
  <c r="C11" i="90"/>
  <c r="G10" i="90"/>
  <c r="F10" i="90"/>
  <c r="G9" i="90"/>
  <c r="F9" i="90"/>
  <c r="G8" i="90"/>
  <c r="F8" i="90"/>
  <c r="G7" i="90"/>
  <c r="F7" i="90"/>
  <c r="F6" i="90"/>
  <c r="C6" i="90"/>
  <c r="G6" i="90" s="1"/>
  <c r="G5" i="90"/>
  <c r="F5" i="90"/>
  <c r="D4" i="90"/>
  <c r="E14" i="98" s="1"/>
  <c r="D3" i="90"/>
  <c r="E13" i="98" s="1"/>
  <c r="G1" i="90"/>
  <c r="C1" i="90"/>
  <c r="F3" i="90" l="1"/>
  <c r="A1" i="77" l="1"/>
  <c r="A1" i="94"/>
  <c r="A1" i="66"/>
  <c r="A1" i="80"/>
  <c r="A1" i="39" l="1"/>
  <c r="CM57" i="88"/>
  <c r="CM56" i="88"/>
  <c r="FU41" i="88"/>
  <c r="FT41" i="88"/>
  <c r="FS41" i="88"/>
  <c r="FR41" i="88"/>
  <c r="FQ41" i="88"/>
  <c r="FP41" i="88"/>
  <c r="FO41" i="88"/>
  <c r="FN41" i="88"/>
  <c r="FM41" i="88"/>
  <c r="FL41" i="88"/>
  <c r="FK41" i="88"/>
  <c r="FJ41" i="88"/>
  <c r="FI41" i="88"/>
  <c r="FH41" i="88"/>
  <c r="FG41" i="88"/>
  <c r="FF41" i="88"/>
  <c r="FE41" i="88"/>
  <c r="FD41" i="88"/>
  <c r="FC41" i="88"/>
  <c r="FB41" i="88"/>
  <c r="FA41" i="88"/>
  <c r="EZ41" i="88"/>
  <c r="EY41" i="88"/>
  <c r="EX41" i="88"/>
  <c r="EW41" i="88"/>
  <c r="EV41" i="88"/>
  <c r="EU41" i="88"/>
  <c r="ET41" i="88"/>
  <c r="ES41" i="88"/>
  <c r="ER41" i="88"/>
  <c r="EQ41" i="88"/>
  <c r="EP41" i="88"/>
  <c r="EO41" i="88"/>
  <c r="EN41" i="88"/>
  <c r="EM41" i="88"/>
  <c r="EL41" i="88"/>
  <c r="EK41" i="88"/>
  <c r="EJ41" i="88"/>
  <c r="EI41" i="88"/>
  <c r="EH41" i="88"/>
  <c r="EG41" i="88"/>
  <c r="EF41" i="88"/>
  <c r="EE41" i="88"/>
  <c r="ED41" i="88"/>
  <c r="EC41" i="88"/>
  <c r="EB41" i="88"/>
  <c r="EA41" i="88"/>
  <c r="DZ41" i="88"/>
  <c r="DY41" i="88"/>
  <c r="DX41" i="88"/>
  <c r="DW41" i="88"/>
  <c r="DV41" i="88"/>
  <c r="DU41" i="88"/>
  <c r="DT41" i="88"/>
  <c r="DS41" i="88"/>
  <c r="DR41" i="88"/>
  <c r="DQ41" i="88"/>
  <c r="DP41" i="88"/>
  <c r="DO41" i="88"/>
  <c r="DN41" i="88"/>
  <c r="DM41" i="88"/>
  <c r="DL41" i="88"/>
  <c r="DK41" i="88"/>
  <c r="DJ41" i="88"/>
  <c r="DI41" i="88"/>
  <c r="DH41" i="88"/>
  <c r="DG41" i="88"/>
  <c r="DF41" i="88"/>
  <c r="DE41" i="88"/>
  <c r="DD41" i="88"/>
  <c r="DC41" i="88"/>
  <c r="DB41" i="88"/>
  <c r="S55" i="88" s="1"/>
  <c r="DA41" i="88"/>
  <c r="R55" i="88" s="1"/>
  <c r="CZ41" i="88"/>
  <c r="Q55" i="88" s="1"/>
  <c r="CY41" i="88"/>
  <c r="P55" i="88" s="1"/>
  <c r="CX41" i="88"/>
  <c r="O55" i="88" s="1"/>
  <c r="CW41" i="88"/>
  <c r="N55" i="88" s="1"/>
  <c r="CV41" i="88"/>
  <c r="M55" i="88" s="1"/>
  <c r="CU41" i="88"/>
  <c r="L55" i="88" s="1"/>
  <c r="CT41" i="88"/>
  <c r="K55" i="88" s="1"/>
  <c r="CS41" i="88"/>
  <c r="J55" i="88" s="1"/>
  <c r="CR41" i="88"/>
  <c r="CQ41" i="88"/>
  <c r="CP41" i="88"/>
  <c r="CO41" i="88"/>
  <c r="FV40" i="88"/>
  <c r="FV39" i="88"/>
  <c r="FV38" i="88"/>
  <c r="FV37" i="88"/>
  <c r="FV36" i="88"/>
  <c r="FV35" i="88"/>
  <c r="FV34" i="88"/>
  <c r="D33" i="88"/>
  <c r="F22" i="88"/>
  <c r="F21" i="88"/>
  <c r="F20" i="88"/>
  <c r="F19" i="88"/>
  <c r="F18" i="88"/>
  <c r="CL15" i="88"/>
  <c r="CK15" i="88"/>
  <c r="CK49" i="88" s="1"/>
  <c r="CJ15" i="88"/>
  <c r="CI15" i="88"/>
  <c r="CH15" i="88"/>
  <c r="CG15" i="88"/>
  <c r="CG49" i="88" s="1"/>
  <c r="CF15" i="88"/>
  <c r="CE15" i="88"/>
  <c r="CD15" i="88"/>
  <c r="CC15" i="88"/>
  <c r="CC49" i="88" s="1"/>
  <c r="CB15" i="88"/>
  <c r="CA15" i="88"/>
  <c r="BZ15" i="88"/>
  <c r="BY15" i="88"/>
  <c r="BY49" i="88" s="1"/>
  <c r="BX15" i="88"/>
  <c r="BW15" i="88"/>
  <c r="BV15" i="88"/>
  <c r="BV26" i="88" s="1"/>
  <c r="BU15" i="88"/>
  <c r="BU49" i="88" s="1"/>
  <c r="BT15" i="88"/>
  <c r="BS15" i="88"/>
  <c r="BR15" i="88"/>
  <c r="BR26" i="88" s="1"/>
  <c r="BQ15" i="88"/>
  <c r="BQ49" i="88" s="1"/>
  <c r="BP15" i="88"/>
  <c r="BO15" i="88"/>
  <c r="BN15" i="88"/>
  <c r="BN26" i="88" s="1"/>
  <c r="BM15" i="88"/>
  <c r="BM49" i="88" s="1"/>
  <c r="BL15" i="88"/>
  <c r="BK15" i="88"/>
  <c r="BJ15" i="88"/>
  <c r="BI15" i="88"/>
  <c r="BI49" i="88" s="1"/>
  <c r="BH15" i="88"/>
  <c r="BG15" i="88"/>
  <c r="BF15" i="88"/>
  <c r="BF26" i="88" s="1"/>
  <c r="BE15" i="88"/>
  <c r="BE49" i="88" s="1"/>
  <c r="BD15" i="88"/>
  <c r="BC15" i="88"/>
  <c r="BB15" i="88"/>
  <c r="BB26" i="88" s="1"/>
  <c r="BA15" i="88"/>
  <c r="BA49" i="88" s="1"/>
  <c r="AZ15" i="88"/>
  <c r="AY15" i="88"/>
  <c r="AX15" i="88"/>
  <c r="AX26" i="88" s="1"/>
  <c r="AW15" i="88"/>
  <c r="AW49" i="88" s="1"/>
  <c r="AV15" i="88"/>
  <c r="AU15" i="88"/>
  <c r="AT15" i="88"/>
  <c r="AS15" i="88"/>
  <c r="AS49" i="88" s="1"/>
  <c r="AR15" i="88"/>
  <c r="AQ15" i="88"/>
  <c r="AP15" i="88"/>
  <c r="AP26" i="88" s="1"/>
  <c r="AO15" i="88"/>
  <c r="AO26" i="88" s="1"/>
  <c r="AN15" i="88"/>
  <c r="AM15" i="88"/>
  <c r="AL15" i="88"/>
  <c r="AL26" i="88" s="1"/>
  <c r="AK15" i="88"/>
  <c r="AK49" i="88" s="1"/>
  <c r="AJ15" i="88"/>
  <c r="AI15" i="88"/>
  <c r="AH15" i="88"/>
  <c r="AH26" i="88" s="1"/>
  <c r="AG15" i="88"/>
  <c r="AG49" i="88" s="1"/>
  <c r="AF15" i="88"/>
  <c r="AE15" i="88"/>
  <c r="AD15" i="88"/>
  <c r="AC15" i="88"/>
  <c r="AC49" i="88" s="1"/>
  <c r="AB15" i="88"/>
  <c r="AA15" i="88"/>
  <c r="Z15" i="88"/>
  <c r="Z26" i="88" s="1"/>
  <c r="Y15" i="88"/>
  <c r="Y49" i="88" s="1"/>
  <c r="X15" i="88"/>
  <c r="W15" i="88"/>
  <c r="V15" i="88"/>
  <c r="V26" i="88" s="1"/>
  <c r="U15" i="88"/>
  <c r="U49" i="88" s="1"/>
  <c r="T15" i="88"/>
  <c r="S15" i="88"/>
  <c r="S49" i="88" s="1"/>
  <c r="R15" i="88"/>
  <c r="R49" i="88" s="1"/>
  <c r="Q15" i="88"/>
  <c r="Q49" i="88" s="1"/>
  <c r="P15" i="88"/>
  <c r="P49" i="88" s="1"/>
  <c r="O15" i="88"/>
  <c r="O49" i="88" s="1"/>
  <c r="N15" i="88"/>
  <c r="N49" i="88" s="1"/>
  <c r="M15" i="88"/>
  <c r="M49" i="88" s="1"/>
  <c r="L15" i="88"/>
  <c r="L49" i="88" s="1"/>
  <c r="K15" i="88"/>
  <c r="K49" i="88" s="1"/>
  <c r="J15" i="88"/>
  <c r="J49" i="88" s="1"/>
  <c r="I15" i="88"/>
  <c r="I49" i="88" s="1"/>
  <c r="H15" i="88"/>
  <c r="H49" i="88" s="1"/>
  <c r="G49" i="88"/>
  <c r="CL14" i="88"/>
  <c r="CK14" i="88"/>
  <c r="CK48" i="88" s="1"/>
  <c r="CJ14" i="88"/>
  <c r="CI14" i="88"/>
  <c r="CI25" i="88" s="1"/>
  <c r="CH14" i="88"/>
  <c r="CG14" i="88"/>
  <c r="CG48" i="88" s="1"/>
  <c r="CF14" i="88"/>
  <c r="CE14" i="88"/>
  <c r="CE25" i="88" s="1"/>
  <c r="CD14" i="88"/>
  <c r="CD25" i="88" s="1"/>
  <c r="CC14" i="88"/>
  <c r="CC48" i="88" s="1"/>
  <c r="CB14" i="88"/>
  <c r="CA14" i="88"/>
  <c r="CA25" i="88" s="1"/>
  <c r="BZ14" i="88"/>
  <c r="BZ25" i="88" s="1"/>
  <c r="BY14" i="88"/>
  <c r="BY48" i="88" s="1"/>
  <c r="BX14" i="88"/>
  <c r="BW14" i="88"/>
  <c r="BV14" i="88"/>
  <c r="BU14" i="88"/>
  <c r="BU48" i="88" s="1"/>
  <c r="BT14" i="88"/>
  <c r="BS14" i="88"/>
  <c r="BS25" i="88" s="1"/>
  <c r="BR14" i="88"/>
  <c r="BQ14" i="88"/>
  <c r="BQ48" i="88" s="1"/>
  <c r="BP14" i="88"/>
  <c r="BO14" i="88"/>
  <c r="BO25" i="88" s="1"/>
  <c r="BN14" i="88"/>
  <c r="BN25" i="88" s="1"/>
  <c r="BM14" i="88"/>
  <c r="BM48" i="88" s="1"/>
  <c r="BL14" i="88"/>
  <c r="BK14" i="88"/>
  <c r="BK25" i="88" s="1"/>
  <c r="BJ14" i="88"/>
  <c r="BJ31" i="88" s="1"/>
  <c r="BI14" i="88"/>
  <c r="BI48" i="88" s="1"/>
  <c r="BH14" i="88"/>
  <c r="BG14" i="88"/>
  <c r="BF14" i="88"/>
  <c r="BE14" i="88"/>
  <c r="BE48" i="88" s="1"/>
  <c r="BD14" i="88"/>
  <c r="BC14" i="88"/>
  <c r="BC25" i="88" s="1"/>
  <c r="BB14" i="88"/>
  <c r="BA14" i="88"/>
  <c r="BA48" i="88" s="1"/>
  <c r="AZ14" i="88"/>
  <c r="AY14" i="88"/>
  <c r="AY25" i="88" s="1"/>
  <c r="AX14" i="88"/>
  <c r="AX25" i="88" s="1"/>
  <c r="AW14" i="88"/>
  <c r="AW48" i="88" s="1"/>
  <c r="AV14" i="88"/>
  <c r="AU14" i="88"/>
  <c r="AU25" i="88" s="1"/>
  <c r="AT14" i="88"/>
  <c r="AT25" i="88" s="1"/>
  <c r="AS14" i="88"/>
  <c r="AS48" i="88" s="1"/>
  <c r="AR14" i="88"/>
  <c r="AQ14" i="88"/>
  <c r="AP14" i="88"/>
  <c r="AO14" i="88"/>
  <c r="AO48" i="88" s="1"/>
  <c r="AN14" i="88"/>
  <c r="AM14" i="88"/>
  <c r="AL14" i="88"/>
  <c r="AK14" i="88"/>
  <c r="AK48" i="88" s="1"/>
  <c r="AJ14" i="88"/>
  <c r="AI14" i="88"/>
  <c r="AH14" i="88"/>
  <c r="AG14" i="88"/>
  <c r="AG48" i="88" s="1"/>
  <c r="AF14" i="88"/>
  <c r="AE14" i="88"/>
  <c r="AD14" i="88"/>
  <c r="AC14" i="88"/>
  <c r="AC48" i="88" s="1"/>
  <c r="AB14" i="88"/>
  <c r="AA14" i="88"/>
  <c r="Z14" i="88"/>
  <c r="Y14" i="88"/>
  <c r="Y48" i="88" s="1"/>
  <c r="X14" i="88"/>
  <c r="W14" i="88"/>
  <c r="V14" i="88"/>
  <c r="U14" i="88"/>
  <c r="U48" i="88" s="1"/>
  <c r="T14" i="88"/>
  <c r="S14" i="88"/>
  <c r="S48" i="88" s="1"/>
  <c r="R14" i="88"/>
  <c r="R48" i="88" s="1"/>
  <c r="Q14" i="88"/>
  <c r="Q48" i="88" s="1"/>
  <c r="P14" i="88"/>
  <c r="P48" i="88" s="1"/>
  <c r="O14" i="88"/>
  <c r="O48" i="88" s="1"/>
  <c r="N14" i="88"/>
  <c r="N48" i="88" s="1"/>
  <c r="M14" i="88"/>
  <c r="M48" i="88" s="1"/>
  <c r="L14" i="88"/>
  <c r="L48" i="88" s="1"/>
  <c r="K14" i="88"/>
  <c r="K48" i="88" s="1"/>
  <c r="J14" i="88"/>
  <c r="J48" i="88" s="1"/>
  <c r="I14" i="88"/>
  <c r="I48" i="88" s="1"/>
  <c r="H14" i="88"/>
  <c r="H48" i="88" s="1"/>
  <c r="G48" i="88"/>
  <c r="CL13" i="88"/>
  <c r="CK13" i="88"/>
  <c r="CJ13" i="88"/>
  <c r="CJ24" i="88" s="1"/>
  <c r="CI13" i="88"/>
  <c r="CH13" i="88"/>
  <c r="CG13" i="88"/>
  <c r="CF13" i="88"/>
  <c r="CF24" i="88" s="1"/>
  <c r="CE13" i="88"/>
  <c r="CD13" i="88"/>
  <c r="CC13" i="88"/>
  <c r="CB13" i="88"/>
  <c r="CB24" i="88" s="1"/>
  <c r="CA13" i="88"/>
  <c r="BZ13" i="88"/>
  <c r="BY13" i="88"/>
  <c r="BX13" i="88"/>
  <c r="BX24" i="88" s="1"/>
  <c r="BW13" i="88"/>
  <c r="BV13" i="88"/>
  <c r="BU13" i="88"/>
  <c r="BT13" i="88"/>
  <c r="BT24" i="88" s="1"/>
  <c r="BS13" i="88"/>
  <c r="BR13" i="88"/>
  <c r="BQ13" i="88"/>
  <c r="BP13" i="88"/>
  <c r="BP24" i="88" s="1"/>
  <c r="BO13" i="88"/>
  <c r="BO30" i="88" s="1"/>
  <c r="BN13" i="88"/>
  <c r="BM13" i="88"/>
  <c r="BL13" i="88"/>
  <c r="BL24" i="88" s="1"/>
  <c r="BK13" i="88"/>
  <c r="BJ13" i="88"/>
  <c r="BI13" i="88"/>
  <c r="BH13" i="88"/>
  <c r="BH24" i="88" s="1"/>
  <c r="BG13" i="88"/>
  <c r="BF13" i="88"/>
  <c r="BE13" i="88"/>
  <c r="BD13" i="88"/>
  <c r="BD24" i="88" s="1"/>
  <c r="BC13" i="88"/>
  <c r="BB13" i="88"/>
  <c r="BA13" i="88"/>
  <c r="AZ13" i="88"/>
  <c r="AZ24" i="88" s="1"/>
  <c r="AY13" i="88"/>
  <c r="AX13" i="88"/>
  <c r="AW13" i="88"/>
  <c r="AV13" i="88"/>
  <c r="AV24" i="88" s="1"/>
  <c r="AU13" i="88"/>
  <c r="AT13" i="88"/>
  <c r="AS13" i="88"/>
  <c r="AR13" i="88"/>
  <c r="AR24" i="88" s="1"/>
  <c r="AQ13" i="88"/>
  <c r="AP13" i="88"/>
  <c r="AO13" i="88"/>
  <c r="AN13" i="88"/>
  <c r="AN24" i="88" s="1"/>
  <c r="AM13" i="88"/>
  <c r="AL13" i="88"/>
  <c r="AK13" i="88"/>
  <c r="AJ13" i="88"/>
  <c r="AJ24" i="88" s="1"/>
  <c r="AI13" i="88"/>
  <c r="AI30" i="88" s="1"/>
  <c r="AH13" i="88"/>
  <c r="AG13" i="88"/>
  <c r="AF13" i="88"/>
  <c r="AF24" i="88" s="1"/>
  <c r="AE13" i="88"/>
  <c r="AD13" i="88"/>
  <c r="AC13" i="88"/>
  <c r="AB13" i="88"/>
  <c r="AB24" i="88" s="1"/>
  <c r="AA13" i="88"/>
  <c r="Z13" i="88"/>
  <c r="Y13" i="88"/>
  <c r="X13" i="88"/>
  <c r="X24" i="88" s="1"/>
  <c r="W13" i="88"/>
  <c r="V13" i="88"/>
  <c r="U13" i="88"/>
  <c r="T13" i="88"/>
  <c r="T24" i="88" s="1"/>
  <c r="S13" i="88"/>
  <c r="S47" i="88" s="1"/>
  <c r="R13" i="88"/>
  <c r="R47" i="88" s="1"/>
  <c r="Q13" i="88"/>
  <c r="Q47" i="88" s="1"/>
  <c r="P13" i="88"/>
  <c r="P47" i="88" s="1"/>
  <c r="O13" i="88"/>
  <c r="O47" i="88" s="1"/>
  <c r="N13" i="88"/>
  <c r="N47" i="88" s="1"/>
  <c r="M13" i="88"/>
  <c r="M47" i="88" s="1"/>
  <c r="L13" i="88"/>
  <c r="L47" i="88" s="1"/>
  <c r="K13" i="88"/>
  <c r="K47" i="88" s="1"/>
  <c r="J13" i="88"/>
  <c r="J47" i="88" s="1"/>
  <c r="I13" i="88"/>
  <c r="I47" i="88" s="1"/>
  <c r="H13" i="88"/>
  <c r="H47" i="88" s="1"/>
  <c r="CL12" i="88"/>
  <c r="CK12" i="88"/>
  <c r="CJ12" i="88"/>
  <c r="CI12" i="88"/>
  <c r="CH12" i="88"/>
  <c r="CG12" i="88"/>
  <c r="CF12" i="88"/>
  <c r="CE12" i="88"/>
  <c r="CD12" i="88"/>
  <c r="CC12" i="88"/>
  <c r="CB12" i="88"/>
  <c r="CA12" i="88"/>
  <c r="BZ12" i="88"/>
  <c r="BY12" i="88"/>
  <c r="BX12" i="88"/>
  <c r="BW12" i="88"/>
  <c r="BV12" i="88"/>
  <c r="BU12" i="88"/>
  <c r="BT12" i="88"/>
  <c r="BS12" i="88"/>
  <c r="BR12" i="88"/>
  <c r="BQ12" i="88"/>
  <c r="BP12" i="88"/>
  <c r="BO12" i="88"/>
  <c r="BN12" i="88"/>
  <c r="BM12" i="88"/>
  <c r="BL12" i="88"/>
  <c r="BK12" i="88"/>
  <c r="BJ12" i="88"/>
  <c r="BI12" i="88"/>
  <c r="BH12" i="88"/>
  <c r="BG12" i="88"/>
  <c r="BF12" i="88"/>
  <c r="BE12" i="88"/>
  <c r="BD12" i="88"/>
  <c r="BC12" i="88"/>
  <c r="BB12" i="88"/>
  <c r="BA12" i="88"/>
  <c r="AZ12" i="88"/>
  <c r="AY12" i="88"/>
  <c r="AX12" i="88"/>
  <c r="AW12" i="88"/>
  <c r="AV12" i="88"/>
  <c r="AU12" i="88"/>
  <c r="AT12" i="88"/>
  <c r="AS12" i="88"/>
  <c r="AR12" i="88"/>
  <c r="AQ12" i="88"/>
  <c r="AP12" i="88"/>
  <c r="AO12" i="88"/>
  <c r="AN12" i="88"/>
  <c r="AM12" i="88"/>
  <c r="AL12" i="88"/>
  <c r="AK12" i="88"/>
  <c r="AJ12" i="88"/>
  <c r="AI12" i="88"/>
  <c r="AH12" i="88"/>
  <c r="AG12" i="88"/>
  <c r="AF12" i="88"/>
  <c r="AE12" i="88"/>
  <c r="AD12" i="88"/>
  <c r="AC12" i="88"/>
  <c r="AB12" i="88"/>
  <c r="AA12" i="88"/>
  <c r="Z12" i="88"/>
  <c r="Y12" i="88"/>
  <c r="X12" i="88"/>
  <c r="W12" i="88"/>
  <c r="V12" i="88"/>
  <c r="U12" i="88"/>
  <c r="T12" i="88"/>
  <c r="S12" i="88"/>
  <c r="R12" i="88"/>
  <c r="Q12" i="88"/>
  <c r="P12" i="88"/>
  <c r="O12" i="88"/>
  <c r="N12" i="88"/>
  <c r="M12" i="88"/>
  <c r="L12" i="88"/>
  <c r="K12" i="88"/>
  <c r="J12" i="88"/>
  <c r="I12" i="88"/>
  <c r="H12" i="88"/>
  <c r="G46" i="88"/>
  <c r="CM11" i="88"/>
  <c r="CM10" i="88"/>
  <c r="CM9" i="88"/>
  <c r="CM8" i="88"/>
  <c r="CM7" i="88"/>
  <c r="CM6" i="88"/>
  <c r="CR5" i="88"/>
  <c r="CQ5" i="88"/>
  <c r="CP5" i="88"/>
  <c r="CO5" i="88"/>
  <c r="CM5" i="88"/>
  <c r="CR4" i="88"/>
  <c r="CQ4" i="88"/>
  <c r="CP4" i="88"/>
  <c r="CO4" i="88"/>
  <c r="CM4" i="88"/>
  <c r="CM3" i="88"/>
  <c r="CM2" i="88"/>
  <c r="CM8" i="72"/>
  <c r="CM9" i="72"/>
  <c r="CM10" i="72"/>
  <c r="CM11" i="72"/>
  <c r="CM7" i="72"/>
  <c r="K23" i="83"/>
  <c r="L23" i="83"/>
  <c r="M23" i="83"/>
  <c r="N23" i="83"/>
  <c r="O23" i="83"/>
  <c r="P23" i="83"/>
  <c r="Q23" i="83"/>
  <c r="R23" i="83"/>
  <c r="S23" i="83"/>
  <c r="T23" i="83"/>
  <c r="U23" i="83"/>
  <c r="V23" i="83"/>
  <c r="W23" i="83"/>
  <c r="X23" i="83"/>
  <c r="Y23" i="83"/>
  <c r="Z23" i="83"/>
  <c r="AA23" i="83"/>
  <c r="AB23" i="83"/>
  <c r="AC23" i="83"/>
  <c r="AD23" i="83"/>
  <c r="AE23" i="83"/>
  <c r="AF23" i="83"/>
  <c r="AG23" i="83"/>
  <c r="AH23" i="83"/>
  <c r="AI23" i="83"/>
  <c r="AJ23" i="83"/>
  <c r="AK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BU23" i="83"/>
  <c r="BV23" i="83"/>
  <c r="BW23" i="83"/>
  <c r="BX23" i="83"/>
  <c r="BY23" i="83"/>
  <c r="BZ23" i="83"/>
  <c r="CA23" i="83"/>
  <c r="CB23" i="83"/>
  <c r="CC23" i="83"/>
  <c r="CD23" i="83"/>
  <c r="CE23" i="83"/>
  <c r="CF23" i="83"/>
  <c r="CG23" i="83"/>
  <c r="CH23" i="83"/>
  <c r="CI23" i="83"/>
  <c r="CJ23" i="83"/>
  <c r="CK23" i="83"/>
  <c r="CL23" i="83"/>
  <c r="CM23"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BY22" i="83"/>
  <c r="BZ22" i="83"/>
  <c r="CA22" i="83"/>
  <c r="CB22" i="83"/>
  <c r="CC22" i="83"/>
  <c r="CD22" i="83"/>
  <c r="CE22" i="83"/>
  <c r="CF22" i="83"/>
  <c r="CG22" i="83"/>
  <c r="CH22" i="83"/>
  <c r="CI22" i="83"/>
  <c r="CJ22" i="83"/>
  <c r="CK22" i="83"/>
  <c r="CL22" i="83"/>
  <c r="CM22" i="83"/>
  <c r="CL24" i="83"/>
  <c r="CK24" i="83"/>
  <c r="CJ24" i="83"/>
  <c r="CI24" i="83"/>
  <c r="CH24" i="83"/>
  <c r="CG24" i="83"/>
  <c r="CF24" i="83"/>
  <c r="CE24" i="83"/>
  <c r="CD24" i="83"/>
  <c r="CC24" i="83"/>
  <c r="CB24" i="83"/>
  <c r="CA24" i="83"/>
  <c r="BZ24" i="83"/>
  <c r="BY24" i="83"/>
  <c r="BX24" i="83"/>
  <c r="BW24" i="83"/>
  <c r="BV24" i="83"/>
  <c r="BU24" i="83"/>
  <c r="BT24" i="83"/>
  <c r="BS24" i="83"/>
  <c r="BR24" i="83"/>
  <c r="BQ24" i="83"/>
  <c r="BP24" i="83"/>
  <c r="BO24" i="83"/>
  <c r="BN24" i="83"/>
  <c r="BM24" i="83"/>
  <c r="BL24" i="83"/>
  <c r="BK24" i="83"/>
  <c r="BJ24" i="83"/>
  <c r="BI24" i="83"/>
  <c r="BH24" i="83"/>
  <c r="BG24" i="83"/>
  <c r="BF24" i="83"/>
  <c r="BE24" i="83"/>
  <c r="BD24" i="83"/>
  <c r="BC24" i="83"/>
  <c r="BB24" i="83"/>
  <c r="BA24" i="83"/>
  <c r="AZ24" i="83"/>
  <c r="AY24" i="83"/>
  <c r="AX24" i="83"/>
  <c r="AW24" i="83"/>
  <c r="AV24" i="83"/>
  <c r="AU24" i="83"/>
  <c r="AT24" i="83"/>
  <c r="AS24" i="83"/>
  <c r="AR24" i="83"/>
  <c r="AQ24" i="83"/>
  <c r="AP24" i="83"/>
  <c r="AO24" i="83"/>
  <c r="AN24" i="83"/>
  <c r="AM24" i="83"/>
  <c r="AL24" i="83"/>
  <c r="AK24" i="83"/>
  <c r="AJ24" i="83"/>
  <c r="AI24" i="83"/>
  <c r="AH24" i="83"/>
  <c r="AG24" i="83"/>
  <c r="AF24" i="83"/>
  <c r="AE24" i="83"/>
  <c r="AD24" i="83"/>
  <c r="AC24" i="83"/>
  <c r="AB24" i="83"/>
  <c r="AA24" i="83"/>
  <c r="Z24" i="83"/>
  <c r="Y24" i="83"/>
  <c r="X24" i="83"/>
  <c r="W24" i="83"/>
  <c r="V24" i="83"/>
  <c r="U24" i="83"/>
  <c r="T24" i="83"/>
  <c r="S24" i="83"/>
  <c r="R24" i="83"/>
  <c r="Q24" i="83"/>
  <c r="P24" i="83"/>
  <c r="O24" i="83"/>
  <c r="N24" i="83"/>
  <c r="M24" i="83"/>
  <c r="L24" i="83"/>
  <c r="K24" i="83"/>
  <c r="K13" i="83"/>
  <c r="K30" i="83" s="1"/>
  <c r="L13" i="83"/>
  <c r="L30" i="83" s="1"/>
  <c r="M13" i="83"/>
  <c r="M30" i="83" s="1"/>
  <c r="N13" i="83"/>
  <c r="N30" i="83" s="1"/>
  <c r="O13" i="83"/>
  <c r="O30" i="83" s="1"/>
  <c r="P13" i="83"/>
  <c r="P30" i="83" s="1"/>
  <c r="Q13" i="83"/>
  <c r="Q30" i="83" s="1"/>
  <c r="R13" i="83"/>
  <c r="R30" i="83" s="1"/>
  <c r="S13" i="83"/>
  <c r="S30" i="83" s="1"/>
  <c r="T13" i="83"/>
  <c r="T30" i="83" s="1"/>
  <c r="U13" i="83"/>
  <c r="U30" i="83" s="1"/>
  <c r="V13" i="83"/>
  <c r="V30" i="83" s="1"/>
  <c r="W13" i="83"/>
  <c r="W30" i="83" s="1"/>
  <c r="X13" i="83"/>
  <c r="X30" i="83" s="1"/>
  <c r="Y13" i="83"/>
  <c r="Y30" i="83" s="1"/>
  <c r="Z13" i="83"/>
  <c r="Z30" i="83" s="1"/>
  <c r="AA13" i="83"/>
  <c r="AA30" i="83" s="1"/>
  <c r="AB13" i="83"/>
  <c r="AB30" i="83" s="1"/>
  <c r="AC13" i="83"/>
  <c r="AC30" i="83" s="1"/>
  <c r="AD13" i="83"/>
  <c r="AD30" i="83" s="1"/>
  <c r="AE13" i="83"/>
  <c r="AE30" i="83" s="1"/>
  <c r="AF13" i="83"/>
  <c r="AF30" i="83" s="1"/>
  <c r="AG13" i="83"/>
  <c r="AG30" i="83" s="1"/>
  <c r="AH13" i="83"/>
  <c r="AH30" i="83" s="1"/>
  <c r="AI13" i="83"/>
  <c r="AI30" i="83" s="1"/>
  <c r="AJ13" i="83"/>
  <c r="AJ30" i="83" s="1"/>
  <c r="AK13" i="83"/>
  <c r="AK30" i="83" s="1"/>
  <c r="AL13" i="83"/>
  <c r="AL30" i="83" s="1"/>
  <c r="AM13" i="83"/>
  <c r="AM30" i="83" s="1"/>
  <c r="AN13" i="83"/>
  <c r="AN30" i="83" s="1"/>
  <c r="AO13" i="83"/>
  <c r="AO30" i="83" s="1"/>
  <c r="AP13" i="83"/>
  <c r="AP30" i="83" s="1"/>
  <c r="AQ13" i="83"/>
  <c r="AQ30" i="83" s="1"/>
  <c r="AR13" i="83"/>
  <c r="AR30" i="83" s="1"/>
  <c r="AS13" i="83"/>
  <c r="AS30" i="83" s="1"/>
  <c r="AT13" i="83"/>
  <c r="AT30" i="83" s="1"/>
  <c r="AU13" i="83"/>
  <c r="AU30" i="83" s="1"/>
  <c r="AV13" i="83"/>
  <c r="AV30" i="83" s="1"/>
  <c r="AW13" i="83"/>
  <c r="AW30" i="83" s="1"/>
  <c r="AX13" i="83"/>
  <c r="AX30" i="83" s="1"/>
  <c r="AY13" i="83"/>
  <c r="AY30" i="83" s="1"/>
  <c r="AZ13" i="83"/>
  <c r="AZ30" i="83" s="1"/>
  <c r="BA13" i="83"/>
  <c r="BA30" i="83" s="1"/>
  <c r="BB13" i="83"/>
  <c r="BB30" i="83" s="1"/>
  <c r="BC13" i="83"/>
  <c r="BC30" i="83" s="1"/>
  <c r="BD13" i="83"/>
  <c r="BD30" i="83" s="1"/>
  <c r="BE13" i="83"/>
  <c r="BE30" i="83" s="1"/>
  <c r="BF13" i="83"/>
  <c r="BF30" i="83" s="1"/>
  <c r="BG13" i="83"/>
  <c r="BG30" i="83" s="1"/>
  <c r="BH13" i="83"/>
  <c r="BH30" i="83" s="1"/>
  <c r="BI13" i="83"/>
  <c r="BI30" i="83" s="1"/>
  <c r="BJ13" i="83"/>
  <c r="BJ30" i="83" s="1"/>
  <c r="BK13" i="83"/>
  <c r="BK30" i="83" s="1"/>
  <c r="BL13" i="83"/>
  <c r="BL30" i="83" s="1"/>
  <c r="BM13" i="83"/>
  <c r="BM30" i="83" s="1"/>
  <c r="BN13" i="83"/>
  <c r="BN30" i="83" s="1"/>
  <c r="BO13" i="83"/>
  <c r="BO30" i="83" s="1"/>
  <c r="BP13" i="83"/>
  <c r="BP30" i="83" s="1"/>
  <c r="BQ13" i="83"/>
  <c r="BQ30" i="83" s="1"/>
  <c r="BR13" i="83"/>
  <c r="BR30" i="83" s="1"/>
  <c r="BS13" i="83"/>
  <c r="BS30" i="83" s="1"/>
  <c r="BT13" i="83"/>
  <c r="BT30" i="83" s="1"/>
  <c r="BU13" i="83"/>
  <c r="BU30" i="83" s="1"/>
  <c r="BV13" i="83"/>
  <c r="BV30" i="83" s="1"/>
  <c r="BW13" i="83"/>
  <c r="BW30" i="83" s="1"/>
  <c r="BX13" i="83"/>
  <c r="BX30" i="83" s="1"/>
  <c r="BY13" i="83"/>
  <c r="BY30" i="83" s="1"/>
  <c r="BZ13" i="83"/>
  <c r="BZ30" i="83" s="1"/>
  <c r="CA13" i="83"/>
  <c r="CA30" i="83" s="1"/>
  <c r="CB13" i="83"/>
  <c r="CB30" i="83" s="1"/>
  <c r="CC13" i="83"/>
  <c r="CC30" i="83" s="1"/>
  <c r="CD13" i="83"/>
  <c r="CD30" i="83" s="1"/>
  <c r="CE13" i="83"/>
  <c r="CE30" i="83" s="1"/>
  <c r="CF13" i="83"/>
  <c r="CF30" i="83" s="1"/>
  <c r="CG13" i="83"/>
  <c r="CG30" i="83" s="1"/>
  <c r="CH13" i="83"/>
  <c r="CH30" i="83" s="1"/>
  <c r="CI13" i="83"/>
  <c r="CI30" i="83" s="1"/>
  <c r="CJ13" i="83"/>
  <c r="CJ30" i="83" s="1"/>
  <c r="CK13" i="83"/>
  <c r="CK30" i="83" s="1"/>
  <c r="CL13" i="83"/>
  <c r="CL30" i="83" s="1"/>
  <c r="CM13" i="83"/>
  <c r="CM30" i="83" s="1"/>
  <c r="K14" i="83"/>
  <c r="L14" i="83"/>
  <c r="L31" i="83" s="1"/>
  <c r="M14" i="83"/>
  <c r="M31" i="83" s="1"/>
  <c r="N14" i="83"/>
  <c r="N31" i="83" s="1"/>
  <c r="O14" i="83"/>
  <c r="P14" i="83"/>
  <c r="P31" i="83" s="1"/>
  <c r="Q14" i="83"/>
  <c r="Q31" i="83" s="1"/>
  <c r="R14" i="83"/>
  <c r="R31" i="83" s="1"/>
  <c r="S14" i="83"/>
  <c r="T14" i="83"/>
  <c r="T31" i="83" s="1"/>
  <c r="U14" i="83"/>
  <c r="U31" i="83" s="1"/>
  <c r="V14" i="83"/>
  <c r="V31" i="83" s="1"/>
  <c r="W14" i="83"/>
  <c r="X14" i="83"/>
  <c r="X31" i="83" s="1"/>
  <c r="Y14" i="83"/>
  <c r="Y31" i="83" s="1"/>
  <c r="Z14" i="83"/>
  <c r="Z31" i="83" s="1"/>
  <c r="AA14" i="83"/>
  <c r="AB14" i="83"/>
  <c r="AB31" i="83" s="1"/>
  <c r="AC14" i="83"/>
  <c r="AC31" i="83" s="1"/>
  <c r="AD14" i="83"/>
  <c r="AD31" i="83" s="1"/>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CM14" i="83"/>
  <c r="H49" i="83"/>
  <c r="J49" i="83"/>
  <c r="K15" i="83"/>
  <c r="L15" i="83"/>
  <c r="M15" i="83"/>
  <c r="M49" i="83" s="1"/>
  <c r="N15" i="83"/>
  <c r="O15" i="83"/>
  <c r="P15" i="83"/>
  <c r="P49" i="83" s="1"/>
  <c r="Q15" i="83"/>
  <c r="Q49" i="83" s="1"/>
  <c r="R15" i="83"/>
  <c r="R49" i="83" s="1"/>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CM15" i="83"/>
  <c r="I50" i="83"/>
  <c r="K16" i="83"/>
  <c r="L16" i="83"/>
  <c r="L50" i="83" s="1"/>
  <c r="M16" i="83"/>
  <c r="M50" i="83" s="1"/>
  <c r="N16" i="83"/>
  <c r="N50" i="83" s="1"/>
  <c r="O16" i="83"/>
  <c r="P16" i="83"/>
  <c r="Q16" i="83"/>
  <c r="Q50" i="83" s="1"/>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BU16" i="83"/>
  <c r="BV16" i="83"/>
  <c r="BW16" i="83"/>
  <c r="BX16" i="83"/>
  <c r="BY16" i="83"/>
  <c r="BZ16" i="83"/>
  <c r="CA16" i="83"/>
  <c r="CB16" i="83"/>
  <c r="CC16" i="83"/>
  <c r="CD16" i="83"/>
  <c r="CE16" i="83"/>
  <c r="CF16" i="83"/>
  <c r="CG16" i="83"/>
  <c r="CH16" i="83"/>
  <c r="CI16" i="83"/>
  <c r="CJ16" i="83"/>
  <c r="CK16" i="83"/>
  <c r="CL16" i="83"/>
  <c r="CM16" i="83"/>
  <c r="FU42" i="83"/>
  <c r="FT42" i="83"/>
  <c r="FS42" i="83"/>
  <c r="FR42" i="83"/>
  <c r="FQ42" i="83"/>
  <c r="FP42" i="83"/>
  <c r="FO42" i="83"/>
  <c r="FN42" i="83"/>
  <c r="FM42" i="83"/>
  <c r="FL42" i="83"/>
  <c r="FK42" i="83"/>
  <c r="FJ42" i="83"/>
  <c r="FI42" i="83"/>
  <c r="FH42" i="83"/>
  <c r="FG42" i="83"/>
  <c r="FF42" i="83"/>
  <c r="FE42" i="83"/>
  <c r="FD42" i="83"/>
  <c r="FC42" i="83"/>
  <c r="FB42" i="83"/>
  <c r="FA42" i="83"/>
  <c r="EZ42" i="83"/>
  <c r="EY42" i="83"/>
  <c r="EX42" i="83"/>
  <c r="EW42" i="83"/>
  <c r="EV42" i="83"/>
  <c r="EU42" i="83"/>
  <c r="ET42" i="83"/>
  <c r="ES42" i="83"/>
  <c r="ER42" i="83"/>
  <c r="EQ42" i="83"/>
  <c r="EP42" i="83"/>
  <c r="EO42" i="83"/>
  <c r="EN42" i="83"/>
  <c r="EM42" i="83"/>
  <c r="EL42" i="83"/>
  <c r="EK42" i="83"/>
  <c r="EJ42" i="83"/>
  <c r="EI42" i="83"/>
  <c r="EH42" i="83"/>
  <c r="EG42" i="83"/>
  <c r="EF42" i="83"/>
  <c r="EE42" i="83"/>
  <c r="ED42" i="83"/>
  <c r="EC42" i="83"/>
  <c r="EB42" i="83"/>
  <c r="EA42" i="83"/>
  <c r="DZ42" i="83"/>
  <c r="DY42" i="83"/>
  <c r="DX42" i="83"/>
  <c r="DW42" i="83"/>
  <c r="DV42" i="83"/>
  <c r="DU42" i="83"/>
  <c r="DT42" i="83"/>
  <c r="DS42" i="83"/>
  <c r="DR42" i="83"/>
  <c r="DQ42" i="83"/>
  <c r="DP42" i="83"/>
  <c r="DO42" i="83"/>
  <c r="DN42" i="83"/>
  <c r="DM42" i="83"/>
  <c r="DL42" i="83"/>
  <c r="DK42" i="83"/>
  <c r="DJ42" i="83"/>
  <c r="DI42" i="83"/>
  <c r="DH42" i="83"/>
  <c r="DG42" i="83"/>
  <c r="DF42" i="83"/>
  <c r="DE42" i="83"/>
  <c r="DD42" i="83"/>
  <c r="DC42" i="83"/>
  <c r="DB42" i="83"/>
  <c r="DA42" i="83"/>
  <c r="CZ42" i="83"/>
  <c r="CY42" i="83"/>
  <c r="CX42" i="83"/>
  <c r="CW42" i="83"/>
  <c r="CV42" i="83"/>
  <c r="CU42" i="83"/>
  <c r="CT42" i="83"/>
  <c r="CS42" i="83"/>
  <c r="CR42" i="83"/>
  <c r="CQ42" i="83"/>
  <c r="CP42" i="83"/>
  <c r="G56" i="83" s="1"/>
  <c r="G67" i="83" s="1"/>
  <c r="CO42" i="83"/>
  <c r="FV41" i="83"/>
  <c r="FV40" i="83"/>
  <c r="FV39" i="83"/>
  <c r="FV38" i="83"/>
  <c r="FV37" i="83"/>
  <c r="FV36" i="83"/>
  <c r="FV35" i="83"/>
  <c r="D34" i="83"/>
  <c r="F23" i="83"/>
  <c r="F22" i="83"/>
  <c r="F21" i="83"/>
  <c r="F20" i="83"/>
  <c r="F19" i="83"/>
  <c r="R50" i="83"/>
  <c r="P50" i="83"/>
  <c r="J50" i="83"/>
  <c r="H50" i="83"/>
  <c r="N49" i="83"/>
  <c r="L49" i="83"/>
  <c r="I49" i="83"/>
  <c r="R48" i="83"/>
  <c r="P48" i="83"/>
  <c r="M48" i="83"/>
  <c r="J48" i="83"/>
  <c r="H48" i="83"/>
  <c r="CM12" i="83"/>
  <c r="CM11" i="83"/>
  <c r="CM10" i="83"/>
  <c r="CM9" i="83"/>
  <c r="CM8" i="83"/>
  <c r="CM7" i="83"/>
  <c r="CM5" i="83"/>
  <c r="CM4" i="83"/>
  <c r="CM3" i="83"/>
  <c r="CM1" i="83" s="1"/>
  <c r="AO46" i="88" l="1"/>
  <c r="AO22" i="88"/>
  <c r="AO20" i="88"/>
  <c r="AO18" i="88"/>
  <c r="AO16" i="88"/>
  <c r="AO21" i="88"/>
  <c r="AO19" i="88"/>
  <c r="AO17" i="88"/>
  <c r="CC46" i="88"/>
  <c r="CC22" i="88"/>
  <c r="CC20" i="88"/>
  <c r="CC18" i="88"/>
  <c r="CC16" i="88"/>
  <c r="CC21" i="88"/>
  <c r="CC19" i="88"/>
  <c r="CC17" i="88"/>
  <c r="O46" i="88"/>
  <c r="O22" i="88"/>
  <c r="O20" i="88"/>
  <c r="O18" i="88"/>
  <c r="O16" i="88"/>
  <c r="O21" i="88"/>
  <c r="O19" i="88"/>
  <c r="O17" i="88"/>
  <c r="W22" i="88"/>
  <c r="W20" i="88"/>
  <c r="W18" i="88"/>
  <c r="W16" i="88"/>
  <c r="W21" i="88"/>
  <c r="W19" i="88"/>
  <c r="W17" i="88"/>
  <c r="AE22" i="88"/>
  <c r="AE20" i="88"/>
  <c r="AE18" i="88"/>
  <c r="AE16" i="88"/>
  <c r="AE21" i="88"/>
  <c r="AE19" i="88"/>
  <c r="AE17" i="88"/>
  <c r="AM22" i="88"/>
  <c r="AM20" i="88"/>
  <c r="AM18" i="88"/>
  <c r="AM16" i="88"/>
  <c r="AM21" i="88"/>
  <c r="AM19" i="88"/>
  <c r="AM17" i="88"/>
  <c r="AU22" i="88"/>
  <c r="AU20" i="88"/>
  <c r="AU18" i="88"/>
  <c r="AU16" i="88"/>
  <c r="AU21" i="88"/>
  <c r="AU19" i="88"/>
  <c r="AU17" i="88"/>
  <c r="BC22" i="88"/>
  <c r="BC20" i="88"/>
  <c r="BC18" i="88"/>
  <c r="BC16" i="88"/>
  <c r="BC21" i="88"/>
  <c r="BC19" i="88"/>
  <c r="BC17" i="88"/>
  <c r="BK22" i="88"/>
  <c r="BK20" i="88"/>
  <c r="BK18" i="88"/>
  <c r="BK16" i="88"/>
  <c r="BK21" i="88"/>
  <c r="BK19" i="88"/>
  <c r="BK17" i="88"/>
  <c r="BS22" i="88"/>
  <c r="BS20" i="88"/>
  <c r="BS18" i="88"/>
  <c r="BS16" i="88"/>
  <c r="BS21" i="88"/>
  <c r="BS19" i="88"/>
  <c r="BS17" i="88"/>
  <c r="CA22" i="88"/>
  <c r="CA20" i="88"/>
  <c r="CA18" i="88"/>
  <c r="CA16" i="88"/>
  <c r="CA21" i="88"/>
  <c r="CA19" i="88"/>
  <c r="CA17" i="88"/>
  <c r="CI22" i="88"/>
  <c r="CI20" i="88"/>
  <c r="CI18" i="88"/>
  <c r="CI16" i="88"/>
  <c r="CI21" i="88"/>
  <c r="CI19" i="88"/>
  <c r="CI17" i="88"/>
  <c r="Q46" i="88"/>
  <c r="Q51" i="88" s="1"/>
  <c r="Q53" i="88" s="1"/>
  <c r="Q22" i="88"/>
  <c r="Q20" i="88"/>
  <c r="Q18" i="88"/>
  <c r="Q16" i="88"/>
  <c r="Q21" i="88"/>
  <c r="Q19" i="88"/>
  <c r="Q17" i="88"/>
  <c r="H22" i="88"/>
  <c r="H20" i="88"/>
  <c r="H18" i="88"/>
  <c r="H16" i="88"/>
  <c r="H19" i="88"/>
  <c r="H21" i="88"/>
  <c r="H17" i="88"/>
  <c r="P46" i="88"/>
  <c r="P50" i="88" s="1"/>
  <c r="P52" i="88" s="1"/>
  <c r="P22" i="88"/>
  <c r="P20" i="88"/>
  <c r="P18" i="88"/>
  <c r="P16" i="88"/>
  <c r="P21" i="88"/>
  <c r="P19" i="88"/>
  <c r="P17" i="88"/>
  <c r="X29" i="88"/>
  <c r="X22" i="88"/>
  <c r="X20" i="88"/>
  <c r="X18" i="88"/>
  <c r="X16" i="88"/>
  <c r="X21" i="88"/>
  <c r="X19" i="88"/>
  <c r="X17" i="88"/>
  <c r="AF21" i="88"/>
  <c r="AF19" i="88"/>
  <c r="AF22" i="88"/>
  <c r="AF20" i="88"/>
  <c r="AF18" i="88"/>
  <c r="AF16" i="88"/>
  <c r="AF17" i="88"/>
  <c r="AN29" i="88"/>
  <c r="AN22" i="88"/>
  <c r="AN20" i="88"/>
  <c r="AN18" i="88"/>
  <c r="AN16" i="88"/>
  <c r="AN19" i="88"/>
  <c r="AN21" i="88"/>
  <c r="AN17" i="88"/>
  <c r="AV22" i="88"/>
  <c r="AV20" i="88"/>
  <c r="AV18" i="88"/>
  <c r="AV16" i="88"/>
  <c r="AV21" i="88"/>
  <c r="AV19" i="88"/>
  <c r="AV17" i="88"/>
  <c r="BD29" i="88"/>
  <c r="BD19" i="88"/>
  <c r="BD22" i="88"/>
  <c r="BD20" i="88"/>
  <c r="BD18" i="88"/>
  <c r="BD16" i="88"/>
  <c r="BD21" i="88"/>
  <c r="BD17" i="88"/>
  <c r="BL22" i="88"/>
  <c r="BL20" i="88"/>
  <c r="BL18" i="88"/>
  <c r="BL16" i="88"/>
  <c r="BL21" i="88"/>
  <c r="BL19" i="88"/>
  <c r="BL17" i="88"/>
  <c r="BT29" i="88"/>
  <c r="BT22" i="88"/>
  <c r="BT20" i="88"/>
  <c r="BT18" i="88"/>
  <c r="BT16" i="88"/>
  <c r="BT21" i="88"/>
  <c r="BT19" i="88"/>
  <c r="BT17" i="88"/>
  <c r="CB22" i="88"/>
  <c r="CB20" i="88"/>
  <c r="CB18" i="88"/>
  <c r="CB16" i="88"/>
  <c r="CB21" i="88"/>
  <c r="CB19" i="88"/>
  <c r="CB17" i="88"/>
  <c r="CJ29" i="88"/>
  <c r="CJ21" i="88"/>
  <c r="CJ22" i="88"/>
  <c r="CJ20" i="88"/>
  <c r="CJ18" i="88"/>
  <c r="CJ16" i="88"/>
  <c r="CJ19" i="88"/>
  <c r="CJ17" i="88"/>
  <c r="AG46" i="88"/>
  <c r="AG22" i="88"/>
  <c r="AG20" i="88"/>
  <c r="AG18" i="88"/>
  <c r="AG16" i="88"/>
  <c r="AG21" i="88"/>
  <c r="AG19" i="88"/>
  <c r="AG17" i="88"/>
  <c r="CK46" i="88"/>
  <c r="CK22" i="88"/>
  <c r="CK20" i="88"/>
  <c r="CK18" i="88"/>
  <c r="CK16" i="88"/>
  <c r="CK21" i="88"/>
  <c r="CK19" i="88"/>
  <c r="CK17" i="88"/>
  <c r="J22" i="88"/>
  <c r="J20" i="88"/>
  <c r="J18" i="88"/>
  <c r="J16" i="88"/>
  <c r="J42" i="88" s="1"/>
  <c r="J60" i="88" s="1"/>
  <c r="J21" i="88"/>
  <c r="J19" i="88"/>
  <c r="J17" i="88"/>
  <c r="R22" i="88"/>
  <c r="R20" i="88"/>
  <c r="R18" i="88"/>
  <c r="R16" i="88"/>
  <c r="R21" i="88"/>
  <c r="R19" i="88"/>
  <c r="R17" i="88"/>
  <c r="Z22" i="88"/>
  <c r="Z20" i="88"/>
  <c r="Z18" i="88"/>
  <c r="Z16" i="88"/>
  <c r="Z21" i="88"/>
  <c r="Z19" i="88"/>
  <c r="Z17" i="88"/>
  <c r="Z66" i="88" s="1"/>
  <c r="AH22" i="88"/>
  <c r="AH20" i="88"/>
  <c r="AH18" i="88"/>
  <c r="AH16" i="88"/>
  <c r="AH21" i="88"/>
  <c r="AH19" i="88"/>
  <c r="AH17" i="88"/>
  <c r="AP22" i="88"/>
  <c r="AP20" i="88"/>
  <c r="AP18" i="88"/>
  <c r="AP16" i="88"/>
  <c r="AP21" i="88"/>
  <c r="AP19" i="88"/>
  <c r="AP17" i="88"/>
  <c r="AX22" i="88"/>
  <c r="AX20" i="88"/>
  <c r="AX18" i="88"/>
  <c r="AX16" i="88"/>
  <c r="AX21" i="88"/>
  <c r="AX19" i="88"/>
  <c r="AX17" i="88"/>
  <c r="BF22" i="88"/>
  <c r="BF20" i="88"/>
  <c r="BF18" i="88"/>
  <c r="BF16" i="88"/>
  <c r="BF21" i="88"/>
  <c r="BF19" i="88"/>
  <c r="BF17" i="88"/>
  <c r="BN22" i="88"/>
  <c r="BN20" i="88"/>
  <c r="BN18" i="88"/>
  <c r="BN16" i="88"/>
  <c r="BN21" i="88"/>
  <c r="BN19" i="88"/>
  <c r="BN17" i="88"/>
  <c r="BV22" i="88"/>
  <c r="BV20" i="88"/>
  <c r="BV18" i="88"/>
  <c r="BV16" i="88"/>
  <c r="BV34" i="88" s="1"/>
  <c r="BV21" i="88"/>
  <c r="BV19" i="88"/>
  <c r="BV17" i="88"/>
  <c r="CD22" i="88"/>
  <c r="CD20" i="88"/>
  <c r="CD18" i="88"/>
  <c r="CD16" i="88"/>
  <c r="CD21" i="88"/>
  <c r="CD19" i="88"/>
  <c r="CD17" i="88"/>
  <c r="CL22" i="88"/>
  <c r="CL20" i="88"/>
  <c r="CL18" i="88"/>
  <c r="CL16" i="88"/>
  <c r="CL21" i="88"/>
  <c r="CL19" i="88"/>
  <c r="CL17" i="88"/>
  <c r="CL66" i="88" s="1"/>
  <c r="I46" i="88"/>
  <c r="I50" i="88" s="1"/>
  <c r="I52" i="88" s="1"/>
  <c r="I22" i="88"/>
  <c r="I20" i="88"/>
  <c r="I18" i="88"/>
  <c r="I16" i="88"/>
  <c r="I21" i="88"/>
  <c r="I19" i="88"/>
  <c r="I17" i="88"/>
  <c r="BM46" i="88"/>
  <c r="BM22" i="88"/>
  <c r="BM20" i="88"/>
  <c r="BM18" i="88"/>
  <c r="BM16" i="88"/>
  <c r="BM21" i="88"/>
  <c r="BM19" i="88"/>
  <c r="BM17" i="88"/>
  <c r="K46" i="88"/>
  <c r="K50" i="88" s="1"/>
  <c r="K52" i="88" s="1"/>
  <c r="K21" i="88"/>
  <c r="K19" i="88"/>
  <c r="K17" i="88"/>
  <c r="K22" i="88"/>
  <c r="K20" i="88"/>
  <c r="K18" i="88"/>
  <c r="K16" i="88"/>
  <c r="S46" i="88"/>
  <c r="S50" i="88" s="1"/>
  <c r="S52" i="88" s="1"/>
  <c r="S21" i="88"/>
  <c r="S19" i="88"/>
  <c r="S17" i="88"/>
  <c r="S22" i="88"/>
  <c r="S20" i="88"/>
  <c r="S18" i="88"/>
  <c r="S16" i="88"/>
  <c r="AA21" i="88"/>
  <c r="AA19" i="88"/>
  <c r="AA17" i="88"/>
  <c r="AA22" i="88"/>
  <c r="AA20" i="88"/>
  <c r="AA18" i="88"/>
  <c r="AA16" i="88"/>
  <c r="AA66" i="88" s="1"/>
  <c r="AI21" i="88"/>
  <c r="AI19" i="88"/>
  <c r="AI17" i="88"/>
  <c r="AI22" i="88"/>
  <c r="AI20" i="88"/>
  <c r="AI18" i="88"/>
  <c r="AI16" i="88"/>
  <c r="AQ21" i="88"/>
  <c r="AQ19" i="88"/>
  <c r="AQ17" i="88"/>
  <c r="AQ22" i="88"/>
  <c r="AQ20" i="88"/>
  <c r="AQ18" i="88"/>
  <c r="AQ16" i="88"/>
  <c r="AY21" i="88"/>
  <c r="AY19" i="88"/>
  <c r="AY17" i="88"/>
  <c r="AY22" i="88"/>
  <c r="AY20" i="88"/>
  <c r="AY18" i="88"/>
  <c r="AY16" i="88"/>
  <c r="BG21" i="88"/>
  <c r="BG19" i="88"/>
  <c r="BG17" i="88"/>
  <c r="BG22" i="88"/>
  <c r="BG20" i="88"/>
  <c r="BG18" i="88"/>
  <c r="BG16" i="88"/>
  <c r="BO21" i="88"/>
  <c r="BO19" i="88"/>
  <c r="BO17" i="88"/>
  <c r="BO22" i="88"/>
  <c r="BO20" i="88"/>
  <c r="BO18" i="88"/>
  <c r="BO16" i="88"/>
  <c r="BW21" i="88"/>
  <c r="BW19" i="88"/>
  <c r="BW17" i="88"/>
  <c r="BW22" i="88"/>
  <c r="BW20" i="88"/>
  <c r="BW18" i="88"/>
  <c r="BW16" i="88"/>
  <c r="CE21" i="88"/>
  <c r="CE19" i="88"/>
  <c r="CE17" i="88"/>
  <c r="CE22" i="88"/>
  <c r="CE20" i="88"/>
  <c r="CE18" i="88"/>
  <c r="CE16" i="88"/>
  <c r="BU46" i="88"/>
  <c r="BU22" i="88"/>
  <c r="BU20" i="88"/>
  <c r="BU18" i="88"/>
  <c r="BU16" i="88"/>
  <c r="BU21" i="88"/>
  <c r="BU19" i="88"/>
  <c r="BU17" i="88"/>
  <c r="L46" i="88"/>
  <c r="L51" i="88" s="1"/>
  <c r="L53" i="88" s="1"/>
  <c r="L21" i="88"/>
  <c r="L19" i="88"/>
  <c r="L17" i="88"/>
  <c r="L20" i="88"/>
  <c r="L22" i="88"/>
  <c r="L18" i="88"/>
  <c r="L16" i="88"/>
  <c r="T22" i="88"/>
  <c r="T21" i="88"/>
  <c r="T19" i="88"/>
  <c r="T17" i="88"/>
  <c r="T20" i="88"/>
  <c r="T16" i="88"/>
  <c r="T18" i="88"/>
  <c r="AB21" i="88"/>
  <c r="AB19" i="88"/>
  <c r="AB17" i="88"/>
  <c r="AB22" i="88"/>
  <c r="AB20" i="88"/>
  <c r="AB16" i="88"/>
  <c r="AB18" i="88"/>
  <c r="AJ21" i="88"/>
  <c r="AJ19" i="88"/>
  <c r="AJ17" i="88"/>
  <c r="AJ20" i="88"/>
  <c r="AJ22" i="88"/>
  <c r="AJ16" i="88"/>
  <c r="AJ18" i="88"/>
  <c r="AR21" i="88"/>
  <c r="AR19" i="88"/>
  <c r="AR17" i="88"/>
  <c r="AR22" i="88"/>
  <c r="AR20" i="88"/>
  <c r="AR16" i="88"/>
  <c r="AR18" i="88"/>
  <c r="AZ21" i="88"/>
  <c r="AZ19" i="88"/>
  <c r="AZ17" i="88"/>
  <c r="AZ20" i="88"/>
  <c r="AZ22" i="88"/>
  <c r="AZ18" i="88"/>
  <c r="AZ16" i="88"/>
  <c r="BH21" i="88"/>
  <c r="BH19" i="88"/>
  <c r="BH17" i="88"/>
  <c r="BH20" i="88"/>
  <c r="BH22" i="88"/>
  <c r="BH18" i="88"/>
  <c r="BH16" i="88"/>
  <c r="BP20" i="88"/>
  <c r="BP21" i="88"/>
  <c r="BP19" i="88"/>
  <c r="BP17" i="88"/>
  <c r="BP22" i="88"/>
  <c r="BP18" i="88"/>
  <c r="BP16" i="88"/>
  <c r="BX21" i="88"/>
  <c r="BX19" i="88"/>
  <c r="BX17" i="88"/>
  <c r="BX20" i="88"/>
  <c r="BX22" i="88"/>
  <c r="BX18" i="88"/>
  <c r="BX16" i="88"/>
  <c r="CF21" i="88"/>
  <c r="CF19" i="88"/>
  <c r="CF17" i="88"/>
  <c r="CF22" i="88"/>
  <c r="CF20" i="88"/>
  <c r="CF16" i="88"/>
  <c r="CF18" i="88"/>
  <c r="AW46" i="88"/>
  <c r="AW22" i="88"/>
  <c r="AW20" i="88"/>
  <c r="AW18" i="88"/>
  <c r="AW16" i="88"/>
  <c r="AW21" i="88"/>
  <c r="AW19" i="88"/>
  <c r="AW17" i="88"/>
  <c r="M46" i="88"/>
  <c r="M50" i="88" s="1"/>
  <c r="M52" i="88" s="1"/>
  <c r="M21" i="88"/>
  <c r="M19" i="88"/>
  <c r="M17" i="88"/>
  <c r="M22" i="88"/>
  <c r="M20" i="88"/>
  <c r="M18" i="88"/>
  <c r="M16" i="88"/>
  <c r="U46" i="88"/>
  <c r="U21" i="88"/>
  <c r="U19" i="88"/>
  <c r="U17" i="88"/>
  <c r="U22" i="88"/>
  <c r="U20" i="88"/>
  <c r="U18" i="88"/>
  <c r="U16" i="88"/>
  <c r="AC46" i="88"/>
  <c r="AC21" i="88"/>
  <c r="AC19" i="88"/>
  <c r="AC17" i="88"/>
  <c r="AC22" i="88"/>
  <c r="AC20" i="88"/>
  <c r="AC18" i="88"/>
  <c r="AC16" i="88"/>
  <c r="AK46" i="88"/>
  <c r="AK21" i="88"/>
  <c r="AK19" i="88"/>
  <c r="AK17" i="88"/>
  <c r="AK22" i="88"/>
  <c r="AK20" i="88"/>
  <c r="AK18" i="88"/>
  <c r="AK16" i="88"/>
  <c r="AS46" i="88"/>
  <c r="AS21" i="88"/>
  <c r="AS19" i="88"/>
  <c r="AS17" i="88"/>
  <c r="AS22" i="88"/>
  <c r="AS20" i="88"/>
  <c r="AS18" i="88"/>
  <c r="AS16" i="88"/>
  <c r="BA46" i="88"/>
  <c r="BA21" i="88"/>
  <c r="BA19" i="88"/>
  <c r="BA17" i="88"/>
  <c r="BA22" i="88"/>
  <c r="BA20" i="88"/>
  <c r="BA18" i="88"/>
  <c r="BA16" i="88"/>
  <c r="BI46" i="88"/>
  <c r="BI21" i="88"/>
  <c r="BI19" i="88"/>
  <c r="BI17" i="88"/>
  <c r="BI22" i="88"/>
  <c r="BI20" i="88"/>
  <c r="BI18" i="88"/>
  <c r="BI16" i="88"/>
  <c r="BQ46" i="88"/>
  <c r="BQ21" i="88"/>
  <c r="BQ19" i="88"/>
  <c r="BQ17" i="88"/>
  <c r="BQ22" i="88"/>
  <c r="BQ20" i="88"/>
  <c r="BQ18" i="88"/>
  <c r="BQ16" i="88"/>
  <c r="BY46" i="88"/>
  <c r="BY21" i="88"/>
  <c r="BY19" i="88"/>
  <c r="BY17" i="88"/>
  <c r="BY22" i="88"/>
  <c r="BY20" i="88"/>
  <c r="BY18" i="88"/>
  <c r="BY16" i="88"/>
  <c r="CG46" i="88"/>
  <c r="CG21" i="88"/>
  <c r="CG19" i="88"/>
  <c r="CG17" i="88"/>
  <c r="CG22" i="88"/>
  <c r="CG20" i="88"/>
  <c r="CG18" i="88"/>
  <c r="CG16" i="88"/>
  <c r="Y46" i="88"/>
  <c r="Y22" i="88"/>
  <c r="Y20" i="88"/>
  <c r="Y18" i="88"/>
  <c r="Y16" i="88"/>
  <c r="Y21" i="88"/>
  <c r="Y19" i="88"/>
  <c r="Y17" i="88"/>
  <c r="BE46" i="88"/>
  <c r="BE22" i="88"/>
  <c r="BE20" i="88"/>
  <c r="BE18" i="88"/>
  <c r="BE16" i="88"/>
  <c r="BE21" i="88"/>
  <c r="BE19" i="88"/>
  <c r="BE17" i="88"/>
  <c r="N21" i="88"/>
  <c r="N19" i="88"/>
  <c r="N17" i="88"/>
  <c r="N22" i="88"/>
  <c r="N20" i="88"/>
  <c r="N18" i="88"/>
  <c r="N16" i="88"/>
  <c r="N34" i="88" s="1"/>
  <c r="V21" i="88"/>
  <c r="V19" i="88"/>
  <c r="V17" i="88"/>
  <c r="V22" i="88"/>
  <c r="V20" i="88"/>
  <c r="V18" i="88"/>
  <c r="V16" i="88"/>
  <c r="AD21" i="88"/>
  <c r="AD19" i="88"/>
  <c r="AD17" i="88"/>
  <c r="AD66" i="88" s="1"/>
  <c r="AD22" i="88"/>
  <c r="AD20" i="88"/>
  <c r="AD18" i="88"/>
  <c r="AD16" i="88"/>
  <c r="AD38" i="88" s="1"/>
  <c r="AL21" i="88"/>
  <c r="AL19" i="88"/>
  <c r="AL17" i="88"/>
  <c r="AL22" i="88"/>
  <c r="AL20" i="88"/>
  <c r="AL18" i="88"/>
  <c r="AL16" i="88"/>
  <c r="AT21" i="88"/>
  <c r="AT19" i="88"/>
  <c r="AT17" i="88"/>
  <c r="AT22" i="88"/>
  <c r="AT20" i="88"/>
  <c r="AT18" i="88"/>
  <c r="AT16" i="88"/>
  <c r="BB21" i="88"/>
  <c r="BB19" i="88"/>
  <c r="BB17" i="88"/>
  <c r="BB22" i="88"/>
  <c r="BB20" i="88"/>
  <c r="BB18" i="88"/>
  <c r="BB16" i="88"/>
  <c r="BJ21" i="88"/>
  <c r="BJ19" i="88"/>
  <c r="BJ17" i="88"/>
  <c r="BJ22" i="88"/>
  <c r="BJ20" i="88"/>
  <c r="BJ18" i="88"/>
  <c r="BJ16" i="88"/>
  <c r="BJ44" i="88" s="1"/>
  <c r="BJ64" i="88" s="1"/>
  <c r="BR21" i="88"/>
  <c r="BR19" i="88"/>
  <c r="BR17" i="88"/>
  <c r="BR22" i="88"/>
  <c r="BR20" i="88"/>
  <c r="BR18" i="88"/>
  <c r="BR16" i="88"/>
  <c r="BZ21" i="88"/>
  <c r="BZ19" i="88"/>
  <c r="BZ17" i="88"/>
  <c r="BZ22" i="88"/>
  <c r="BZ20" i="88"/>
  <c r="BZ18" i="88"/>
  <c r="BZ16" i="88"/>
  <c r="BZ43" i="88" s="1"/>
  <c r="BZ61" i="88" s="1"/>
  <c r="CH21" i="88"/>
  <c r="CH19" i="88"/>
  <c r="CH17" i="88"/>
  <c r="CH22" i="88"/>
  <c r="CH20" i="88"/>
  <c r="CH18" i="88"/>
  <c r="CH16" i="88"/>
  <c r="I48" i="83"/>
  <c r="Q48" i="83"/>
  <c r="N48" i="83"/>
  <c r="L48" i="83"/>
  <c r="BT46" i="88"/>
  <c r="BY25" i="88"/>
  <c r="CK26" i="88"/>
  <c r="CC29" i="88"/>
  <c r="CC31" i="88"/>
  <c r="BU32" i="88"/>
  <c r="BI25" i="88"/>
  <c r="AK26" i="88"/>
  <c r="BQ26" i="88"/>
  <c r="AG29" i="88"/>
  <c r="AG31" i="88"/>
  <c r="Y32" i="88"/>
  <c r="CK32" i="88"/>
  <c r="AS25" i="88"/>
  <c r="AW29" i="88"/>
  <c r="AW31" i="88"/>
  <c r="AO32" i="88"/>
  <c r="U26" i="88"/>
  <c r="BA26" i="88"/>
  <c r="CC26" i="88"/>
  <c r="BM29" i="88"/>
  <c r="BM31" i="88"/>
  <c r="BE32" i="88"/>
  <c r="H46" i="88"/>
  <c r="H50" i="88" s="1"/>
  <c r="H52" i="88" s="1"/>
  <c r="CK33" i="83"/>
  <c r="CK27" i="83"/>
  <c r="CG33" i="83"/>
  <c r="CG27" i="83"/>
  <c r="CC33" i="83"/>
  <c r="CC27" i="83"/>
  <c r="BY33" i="83"/>
  <c r="BY27" i="83"/>
  <c r="BU33" i="83"/>
  <c r="BU27" i="83"/>
  <c r="BQ33" i="83"/>
  <c r="BQ27" i="83"/>
  <c r="BM33" i="83"/>
  <c r="BM27" i="83"/>
  <c r="BI33" i="83"/>
  <c r="BI27" i="83"/>
  <c r="BE33" i="83"/>
  <c r="BE27" i="83"/>
  <c r="BA33" i="83"/>
  <c r="BA27" i="83"/>
  <c r="AW33" i="83"/>
  <c r="AW27" i="83"/>
  <c r="AS33" i="83"/>
  <c r="AS27" i="83"/>
  <c r="AO33" i="83"/>
  <c r="AO27" i="83"/>
  <c r="AK33" i="83"/>
  <c r="AK27" i="83"/>
  <c r="AG33" i="83"/>
  <c r="AG27" i="83"/>
  <c r="AC33" i="83"/>
  <c r="AC27" i="83"/>
  <c r="Y33" i="83"/>
  <c r="Y27" i="83"/>
  <c r="U33" i="83"/>
  <c r="U27" i="83"/>
  <c r="Q33" i="83"/>
  <c r="Q27" i="83"/>
  <c r="M33" i="83"/>
  <c r="M27" i="83"/>
  <c r="CK32" i="83"/>
  <c r="CK26" i="83"/>
  <c r="CG32" i="83"/>
  <c r="CG26" i="83"/>
  <c r="CC32" i="83"/>
  <c r="CC26" i="83"/>
  <c r="BY32" i="83"/>
  <c r="BY26" i="83"/>
  <c r="BU32" i="83"/>
  <c r="BU26" i="83"/>
  <c r="BQ32" i="83"/>
  <c r="BQ26" i="83"/>
  <c r="BM32" i="83"/>
  <c r="BM26" i="83"/>
  <c r="BI32" i="83"/>
  <c r="BI26" i="83"/>
  <c r="BE32" i="83"/>
  <c r="BE26" i="83"/>
  <c r="BA32" i="83"/>
  <c r="BA26" i="83"/>
  <c r="AW32" i="83"/>
  <c r="AW26" i="83"/>
  <c r="AS32" i="83"/>
  <c r="AS26" i="83"/>
  <c r="AO32" i="83"/>
  <c r="AO26" i="83"/>
  <c r="AK32" i="83"/>
  <c r="AK26" i="83"/>
  <c r="AG32" i="83"/>
  <c r="AG26" i="83"/>
  <c r="AC32" i="83"/>
  <c r="AC29" i="83" s="1"/>
  <c r="AC26" i="83"/>
  <c r="Y32" i="83"/>
  <c r="Y26" i="83"/>
  <c r="U32" i="83"/>
  <c r="U26" i="83"/>
  <c r="Q32" i="83"/>
  <c r="Q26" i="83"/>
  <c r="M32" i="83"/>
  <c r="M29" i="83" s="1"/>
  <c r="M26" i="83"/>
  <c r="CK31" i="83"/>
  <c r="CK25" i="83"/>
  <c r="CG31" i="83"/>
  <c r="CG25" i="83"/>
  <c r="CC31" i="83"/>
  <c r="CC25" i="83"/>
  <c r="BY31" i="83"/>
  <c r="BY25" i="83"/>
  <c r="BU31" i="83"/>
  <c r="BU25" i="83"/>
  <c r="BQ31" i="83"/>
  <c r="BQ25" i="83"/>
  <c r="BM31" i="83"/>
  <c r="BM25" i="83"/>
  <c r="BI31" i="83"/>
  <c r="BI25" i="83"/>
  <c r="BE31" i="83"/>
  <c r="BE25" i="83"/>
  <c r="BA31" i="83"/>
  <c r="BA25" i="83"/>
  <c r="AW31" i="83"/>
  <c r="AW29" i="83" s="1"/>
  <c r="AW25" i="83"/>
  <c r="AS31" i="83"/>
  <c r="AS25" i="83"/>
  <c r="AO31" i="83"/>
  <c r="AO25" i="83"/>
  <c r="AK31" i="83"/>
  <c r="AK25" i="83"/>
  <c r="AG31" i="83"/>
  <c r="AG25" i="83"/>
  <c r="L25" i="83"/>
  <c r="P25" i="83"/>
  <c r="U25" i="83"/>
  <c r="Z25" i="83"/>
  <c r="FV42" i="83"/>
  <c r="CJ33" i="83"/>
  <c r="CJ27" i="83"/>
  <c r="CF33" i="83"/>
  <c r="CF27" i="83"/>
  <c r="CB33" i="83"/>
  <c r="CB27" i="83"/>
  <c r="BX33" i="83"/>
  <c r="BX27" i="83"/>
  <c r="BT33" i="83"/>
  <c r="BT27" i="83"/>
  <c r="BP33" i="83"/>
  <c r="BP27" i="83"/>
  <c r="BL33" i="83"/>
  <c r="BL27" i="83"/>
  <c r="BH33" i="83"/>
  <c r="BH27" i="83"/>
  <c r="BD33" i="83"/>
  <c r="BD27" i="83"/>
  <c r="AZ33" i="83"/>
  <c r="AZ27" i="83"/>
  <c r="AV33" i="83"/>
  <c r="AV27" i="83"/>
  <c r="AR33" i="83"/>
  <c r="AR27" i="83"/>
  <c r="AN33" i="83"/>
  <c r="AN27" i="83"/>
  <c r="AJ33" i="83"/>
  <c r="AJ27" i="83"/>
  <c r="AF33" i="83"/>
  <c r="AF27" i="83"/>
  <c r="AB33" i="83"/>
  <c r="AB27" i="83"/>
  <c r="X33" i="83"/>
  <c r="X27" i="83"/>
  <c r="T33" i="83"/>
  <c r="T27" i="83"/>
  <c r="P33" i="83"/>
  <c r="P27" i="83"/>
  <c r="L33" i="83"/>
  <c r="L27" i="83"/>
  <c r="CJ32" i="83"/>
  <c r="CJ26" i="83"/>
  <c r="CF32" i="83"/>
  <c r="CF26" i="83"/>
  <c r="CB32" i="83"/>
  <c r="CB26" i="83"/>
  <c r="BX32" i="83"/>
  <c r="BX26" i="83"/>
  <c r="BT32" i="83"/>
  <c r="BT26" i="83"/>
  <c r="BP32" i="83"/>
  <c r="BP26" i="83"/>
  <c r="BL32" i="83"/>
  <c r="BL26" i="83"/>
  <c r="BH32" i="83"/>
  <c r="BH26" i="83"/>
  <c r="BD32" i="83"/>
  <c r="BD26" i="83"/>
  <c r="AZ32" i="83"/>
  <c r="AZ26" i="83"/>
  <c r="AV32" i="83"/>
  <c r="AV26" i="83"/>
  <c r="AR32" i="83"/>
  <c r="AR26" i="83"/>
  <c r="AN32" i="83"/>
  <c r="AN26" i="83"/>
  <c r="AJ32" i="83"/>
  <c r="AJ26" i="83"/>
  <c r="AF32" i="83"/>
  <c r="AF26" i="83"/>
  <c r="AB32" i="83"/>
  <c r="AB29" i="83" s="1"/>
  <c r="AB26" i="83"/>
  <c r="X32" i="83"/>
  <c r="X26" i="83"/>
  <c r="T32" i="83"/>
  <c r="T26" i="83"/>
  <c r="P32" i="83"/>
  <c r="P26" i="83"/>
  <c r="L32" i="83"/>
  <c r="L29" i="83" s="1"/>
  <c r="L26" i="83"/>
  <c r="CJ31" i="83"/>
  <c r="CJ25" i="83"/>
  <c r="CF31" i="83"/>
  <c r="CF25" i="83"/>
  <c r="CB31" i="83"/>
  <c r="CB29" i="83" s="1"/>
  <c r="CB25" i="83"/>
  <c r="BX31" i="83"/>
  <c r="BX25" i="83"/>
  <c r="BT31" i="83"/>
  <c r="BT25" i="83"/>
  <c r="BP31" i="83"/>
  <c r="BP25" i="83"/>
  <c r="BL31" i="83"/>
  <c r="BL25" i="83"/>
  <c r="BH31" i="83"/>
  <c r="BH25" i="83"/>
  <c r="BD31" i="83"/>
  <c r="BD25" i="83"/>
  <c r="AZ31" i="83"/>
  <c r="AZ25" i="83"/>
  <c r="AV31" i="83"/>
  <c r="AV29" i="83" s="1"/>
  <c r="AV25" i="83"/>
  <c r="AR31" i="83"/>
  <c r="AR25" i="83"/>
  <c r="AN31" i="83"/>
  <c r="AN25" i="83"/>
  <c r="AJ31" i="83"/>
  <c r="AJ25" i="83"/>
  <c r="AF31" i="83"/>
  <c r="AF25" i="83"/>
  <c r="M25" i="83"/>
  <c r="Q25" i="83"/>
  <c r="V25" i="83"/>
  <c r="AB25" i="83"/>
  <c r="CM33" i="83"/>
  <c r="CM27" i="83"/>
  <c r="CI33" i="83"/>
  <c r="CI27" i="83"/>
  <c r="CE33" i="83"/>
  <c r="CE27" i="83"/>
  <c r="CA33" i="83"/>
  <c r="CA27" i="83"/>
  <c r="BW33" i="83"/>
  <c r="BW27" i="83"/>
  <c r="BS33" i="83"/>
  <c r="BS27" i="83"/>
  <c r="BO33" i="83"/>
  <c r="BO27" i="83"/>
  <c r="BK33" i="83"/>
  <c r="BK27" i="83"/>
  <c r="BG33" i="83"/>
  <c r="BG27" i="83"/>
  <c r="BC33" i="83"/>
  <c r="BC27" i="83"/>
  <c r="AY33" i="83"/>
  <c r="AY27" i="83"/>
  <c r="AU33" i="83"/>
  <c r="AU27" i="83"/>
  <c r="AQ33" i="83"/>
  <c r="AQ27" i="83"/>
  <c r="AM33" i="83"/>
  <c r="AM27" i="83"/>
  <c r="AI33" i="83"/>
  <c r="AI27" i="83"/>
  <c r="AE33" i="83"/>
  <c r="AE27" i="83"/>
  <c r="AA33" i="83"/>
  <c r="AA27" i="83"/>
  <c r="W33" i="83"/>
  <c r="W27" i="83"/>
  <c r="S50" i="83"/>
  <c r="S33" i="83"/>
  <c r="S27" i="83"/>
  <c r="O50" i="83"/>
  <c r="O33" i="83"/>
  <c r="O27" i="83"/>
  <c r="K50" i="83"/>
  <c r="K33" i="83"/>
  <c r="K27" i="83"/>
  <c r="CM32" i="83"/>
  <c r="CM26" i="83"/>
  <c r="CI32" i="83"/>
  <c r="CI26" i="83"/>
  <c r="CE32" i="83"/>
  <c r="CE26" i="83"/>
  <c r="CA32" i="83"/>
  <c r="CA26" i="83"/>
  <c r="BW32" i="83"/>
  <c r="BW26" i="83"/>
  <c r="BS32" i="83"/>
  <c r="BS26" i="83"/>
  <c r="BO32" i="83"/>
  <c r="BO26" i="83"/>
  <c r="BK32" i="83"/>
  <c r="BK26" i="83"/>
  <c r="BG32" i="83"/>
  <c r="BG26" i="83"/>
  <c r="BC32" i="83"/>
  <c r="BC26" i="83"/>
  <c r="AY32" i="83"/>
  <c r="AY26" i="83"/>
  <c r="AU32" i="83"/>
  <c r="AU26" i="83"/>
  <c r="AQ32" i="83"/>
  <c r="AQ26" i="83"/>
  <c r="AM32" i="83"/>
  <c r="AM26" i="83"/>
  <c r="AI32" i="83"/>
  <c r="AI26" i="83"/>
  <c r="AE32" i="83"/>
  <c r="AE26" i="83"/>
  <c r="AA32" i="83"/>
  <c r="AA26" i="83"/>
  <c r="W32" i="83"/>
  <c r="W26" i="83"/>
  <c r="S49" i="83"/>
  <c r="S32" i="83"/>
  <c r="S26" i="83"/>
  <c r="O49" i="83"/>
  <c r="O32" i="83"/>
  <c r="O26" i="83"/>
  <c r="K49" i="83"/>
  <c r="K32" i="83"/>
  <c r="K26" i="83"/>
  <c r="CM31" i="83"/>
  <c r="CM25" i="83"/>
  <c r="CI31" i="83"/>
  <c r="CI25" i="83"/>
  <c r="CE31" i="83"/>
  <c r="CE25" i="83"/>
  <c r="CA31" i="83"/>
  <c r="CA25" i="83"/>
  <c r="BW31" i="83"/>
  <c r="BW25" i="83"/>
  <c r="BS31" i="83"/>
  <c r="BS25" i="83"/>
  <c r="BO31" i="83"/>
  <c r="BO25" i="83"/>
  <c r="BK31" i="83"/>
  <c r="BK25" i="83"/>
  <c r="BG31" i="83"/>
  <c r="BG25" i="83"/>
  <c r="BC31" i="83"/>
  <c r="BC25" i="83"/>
  <c r="AY31" i="83"/>
  <c r="AY25" i="83"/>
  <c r="AU31" i="83"/>
  <c r="AU25" i="83"/>
  <c r="AQ31" i="83"/>
  <c r="AQ25" i="83"/>
  <c r="AM31" i="83"/>
  <c r="AM25" i="83"/>
  <c r="AI31" i="83"/>
  <c r="AI25" i="83"/>
  <c r="AE31" i="83"/>
  <c r="AE25" i="83"/>
  <c r="AA31" i="83"/>
  <c r="AA25" i="83"/>
  <c r="W31" i="83"/>
  <c r="W25" i="83"/>
  <c r="S48" i="83"/>
  <c r="S31" i="83"/>
  <c r="S25" i="83"/>
  <c r="O48" i="83"/>
  <c r="O31" i="83"/>
  <c r="K48" i="83"/>
  <c r="K31" i="83"/>
  <c r="N25" i="83"/>
  <c r="R25" i="83"/>
  <c r="X25" i="83"/>
  <c r="AC25" i="83"/>
  <c r="CL33" i="83"/>
  <c r="CL27" i="83"/>
  <c r="CH33" i="83"/>
  <c r="CH27" i="83"/>
  <c r="CD33" i="83"/>
  <c r="CD27" i="83"/>
  <c r="BZ33" i="83"/>
  <c r="BZ27" i="83"/>
  <c r="BV33" i="83"/>
  <c r="BV27" i="83"/>
  <c r="BR33" i="83"/>
  <c r="BR27" i="83"/>
  <c r="BN33" i="83"/>
  <c r="BN27" i="83"/>
  <c r="BJ33" i="83"/>
  <c r="BJ27" i="83"/>
  <c r="BF33" i="83"/>
  <c r="BF27" i="83"/>
  <c r="BB33" i="83"/>
  <c r="BB27" i="83"/>
  <c r="AX33" i="83"/>
  <c r="AX27" i="83"/>
  <c r="AT33" i="83"/>
  <c r="AT27" i="83"/>
  <c r="AP33" i="83"/>
  <c r="AP27" i="83"/>
  <c r="AL33" i="83"/>
  <c r="AL27" i="83"/>
  <c r="AH33" i="83"/>
  <c r="AH27" i="83"/>
  <c r="AD33" i="83"/>
  <c r="AD27" i="83"/>
  <c r="Z33" i="83"/>
  <c r="Z27" i="83"/>
  <c r="V33" i="83"/>
  <c r="V27" i="83"/>
  <c r="R33" i="83"/>
  <c r="R27" i="83"/>
  <c r="N33" i="83"/>
  <c r="N27" i="83"/>
  <c r="CL32" i="83"/>
  <c r="CL26" i="83"/>
  <c r="CH32" i="83"/>
  <c r="CH26" i="83"/>
  <c r="CD32" i="83"/>
  <c r="CD26" i="83"/>
  <c r="BZ32" i="83"/>
  <c r="BZ26" i="83"/>
  <c r="BV32" i="83"/>
  <c r="BV26" i="83"/>
  <c r="BR32" i="83"/>
  <c r="BR26" i="83"/>
  <c r="BN32" i="83"/>
  <c r="BN26" i="83"/>
  <c r="BJ32" i="83"/>
  <c r="BJ26" i="83"/>
  <c r="BF32" i="83"/>
  <c r="BF26" i="83"/>
  <c r="BB32" i="83"/>
  <c r="BB26" i="83"/>
  <c r="AX32" i="83"/>
  <c r="AX26" i="83"/>
  <c r="AT32" i="83"/>
  <c r="AT26" i="83"/>
  <c r="AP32" i="83"/>
  <c r="AP26" i="83"/>
  <c r="AL32" i="83"/>
  <c r="AL26" i="83"/>
  <c r="AH32" i="83"/>
  <c r="AH26" i="83"/>
  <c r="AD32" i="83"/>
  <c r="AD26" i="83"/>
  <c r="Z32" i="83"/>
  <c r="Z26" i="83"/>
  <c r="V32" i="83"/>
  <c r="V26" i="83"/>
  <c r="R32" i="83"/>
  <c r="R26" i="83"/>
  <c r="N32" i="83"/>
  <c r="N26" i="83"/>
  <c r="CL31" i="83"/>
  <c r="CL25" i="83"/>
  <c r="CH31" i="83"/>
  <c r="CH25" i="83"/>
  <c r="CD31" i="83"/>
  <c r="CD25" i="83"/>
  <c r="BZ31" i="83"/>
  <c r="BZ25" i="83"/>
  <c r="BV31" i="83"/>
  <c r="BV25" i="83"/>
  <c r="BR31" i="83"/>
  <c r="BR25" i="83"/>
  <c r="BN31" i="83"/>
  <c r="BN25" i="83"/>
  <c r="BJ31" i="83"/>
  <c r="BJ25" i="83"/>
  <c r="BF31" i="83"/>
  <c r="BF25" i="83"/>
  <c r="BB31" i="83"/>
  <c r="BB25" i="83"/>
  <c r="AX31" i="83"/>
  <c r="AX25" i="83"/>
  <c r="AT31" i="83"/>
  <c r="AT25" i="83"/>
  <c r="AP31" i="83"/>
  <c r="AP25" i="83"/>
  <c r="AL31" i="83"/>
  <c r="AL25" i="83"/>
  <c r="AH31" i="83"/>
  <c r="AH25" i="83"/>
  <c r="K25" i="83"/>
  <c r="O25" i="83"/>
  <c r="T25" i="83"/>
  <c r="Y25" i="83"/>
  <c r="AD25" i="83"/>
  <c r="N40" i="88"/>
  <c r="N44" i="88"/>
  <c r="N64" i="88" s="1"/>
  <c r="AD45" i="88"/>
  <c r="AD63" i="88" s="1"/>
  <c r="AD37" i="88"/>
  <c r="AT43" i="88"/>
  <c r="AT61" i="88" s="1"/>
  <c r="AT42" i="88"/>
  <c r="AT60" i="88" s="1"/>
  <c r="AT45" i="88"/>
  <c r="AT63" i="88" s="1"/>
  <c r="AT40" i="88"/>
  <c r="AT44" i="88"/>
  <c r="AT64" i="88" s="1"/>
  <c r="AT38" i="88"/>
  <c r="AT36" i="88"/>
  <c r="AT34" i="88"/>
  <c r="AT33" i="88"/>
  <c r="AT39" i="88"/>
  <c r="AT37" i="88"/>
  <c r="AT35" i="88"/>
  <c r="AT27" i="88"/>
  <c r="AT23" i="88"/>
  <c r="BJ40" i="88"/>
  <c r="BJ35" i="88"/>
  <c r="T48" i="88"/>
  <c r="T31" i="88"/>
  <c r="T25" i="88"/>
  <c r="AB48" i="88"/>
  <c r="AB31" i="88"/>
  <c r="AB25" i="88"/>
  <c r="AN48" i="88"/>
  <c r="AN31" i="88"/>
  <c r="AN25" i="88"/>
  <c r="AV48" i="88"/>
  <c r="AV31" i="88"/>
  <c r="AV25" i="88"/>
  <c r="BH48" i="88"/>
  <c r="BH31" i="88"/>
  <c r="BH25" i="88"/>
  <c r="BT48" i="88"/>
  <c r="BT31" i="88"/>
  <c r="BT25" i="88"/>
  <c r="CF48" i="88"/>
  <c r="CF31" i="88"/>
  <c r="CF25" i="88"/>
  <c r="Z43" i="88"/>
  <c r="Z61" i="88" s="1"/>
  <c r="Z42" i="88"/>
  <c r="Z60" i="88" s="1"/>
  <c r="Z45" i="88"/>
  <c r="Z63" i="88" s="1"/>
  <c r="Z40" i="88"/>
  <c r="Z38" i="88"/>
  <c r="Z36" i="88"/>
  <c r="Z34" i="88"/>
  <c r="Z44" i="88"/>
  <c r="Z64" i="88" s="1"/>
  <c r="Z33" i="88"/>
  <c r="Z39" i="88"/>
  <c r="Z37" i="88"/>
  <c r="Z35" i="88"/>
  <c r="Z27" i="88"/>
  <c r="Z23" i="88"/>
  <c r="BF43" i="88"/>
  <c r="BF61" i="88" s="1"/>
  <c r="BF42" i="88"/>
  <c r="BF60" i="88" s="1"/>
  <c r="BF45" i="88"/>
  <c r="BF63" i="88" s="1"/>
  <c r="BF40" i="88"/>
  <c r="BF38" i="88"/>
  <c r="BF36" i="88"/>
  <c r="BF34" i="88"/>
  <c r="BF44" i="88"/>
  <c r="BF64" i="88" s="1"/>
  <c r="BF33" i="88"/>
  <c r="BF39" i="88"/>
  <c r="BF37" i="88"/>
  <c r="BF35" i="88"/>
  <c r="BF27" i="88"/>
  <c r="BF23" i="88"/>
  <c r="CL43" i="88"/>
  <c r="CL61" i="88" s="1"/>
  <c r="CL39" i="88"/>
  <c r="CL42" i="88"/>
  <c r="CL60" i="88" s="1"/>
  <c r="CL45" i="88"/>
  <c r="CL63" i="88" s="1"/>
  <c r="CL40" i="88"/>
  <c r="CL38" i="88"/>
  <c r="CL36" i="88"/>
  <c r="CL34" i="88"/>
  <c r="CL44" i="88"/>
  <c r="CL64" i="88" s="1"/>
  <c r="CL33" i="88"/>
  <c r="CL37" i="88"/>
  <c r="CL35" i="88"/>
  <c r="CL27" i="88"/>
  <c r="CL23" i="88"/>
  <c r="U47" i="88"/>
  <c r="U30" i="88"/>
  <c r="U24" i="88"/>
  <c r="Y47" i="88"/>
  <c r="Y30" i="88"/>
  <c r="Y24" i="88"/>
  <c r="AC47" i="88"/>
  <c r="AC50" i="88" s="1"/>
  <c r="AC52" i="88" s="1"/>
  <c r="AC30" i="88"/>
  <c r="AC24" i="88"/>
  <c r="AG47" i="88"/>
  <c r="AG50" i="88" s="1"/>
  <c r="AG52" i="88" s="1"/>
  <c r="AG30" i="88"/>
  <c r="AG24" i="88"/>
  <c r="AK47" i="88"/>
  <c r="AK30" i="88"/>
  <c r="AK24" i="88"/>
  <c r="AO47" i="88"/>
  <c r="AO24" i="88"/>
  <c r="AO30" i="88"/>
  <c r="AS47" i="88"/>
  <c r="AS30" i="88"/>
  <c r="AS24" i="88"/>
  <c r="AW47" i="88"/>
  <c r="AW51" i="88" s="1"/>
  <c r="AW53" i="88" s="1"/>
  <c r="AW30" i="88"/>
  <c r="AW24" i="88"/>
  <c r="BA47" i="88"/>
  <c r="BA30" i="88"/>
  <c r="BA24" i="88"/>
  <c r="BE47" i="88"/>
  <c r="BE30" i="88"/>
  <c r="BE24" i="88"/>
  <c r="BI47" i="88"/>
  <c r="BI50" i="88" s="1"/>
  <c r="BI52" i="88" s="1"/>
  <c r="BI30" i="88"/>
  <c r="BI24" i="88"/>
  <c r="BM47" i="88"/>
  <c r="BM50" i="88" s="1"/>
  <c r="BM52" i="88" s="1"/>
  <c r="BM30" i="88"/>
  <c r="BM24" i="88"/>
  <c r="BQ47" i="88"/>
  <c r="BQ30" i="88"/>
  <c r="BQ24" i="88"/>
  <c r="BU47" i="88"/>
  <c r="BU24" i="88"/>
  <c r="BU30" i="88"/>
  <c r="BY47" i="88"/>
  <c r="BY30" i="88"/>
  <c r="BY24" i="88"/>
  <c r="CC47" i="88"/>
  <c r="CC51" i="88" s="1"/>
  <c r="CC53" i="88" s="1"/>
  <c r="CC30" i="88"/>
  <c r="CC24" i="88"/>
  <c r="CG47" i="88"/>
  <c r="CG30" i="88"/>
  <c r="CG24" i="88"/>
  <c r="CK47" i="88"/>
  <c r="CK51" i="88" s="1"/>
  <c r="CK53" i="88" s="1"/>
  <c r="CK30" i="88"/>
  <c r="CK24" i="88"/>
  <c r="X48" i="88"/>
  <c r="X31" i="88"/>
  <c r="X25" i="88"/>
  <c r="AJ48" i="88"/>
  <c r="AJ31" i="88"/>
  <c r="AJ25" i="88"/>
  <c r="BD48" i="88"/>
  <c r="BD31" i="88"/>
  <c r="BD25" i="88"/>
  <c r="BP48" i="88"/>
  <c r="BP31" i="88"/>
  <c r="BP25" i="88"/>
  <c r="CB48" i="88"/>
  <c r="CB31" i="88"/>
  <c r="CB25" i="88"/>
  <c r="J34" i="88"/>
  <c r="BV40" i="88"/>
  <c r="BV35" i="88"/>
  <c r="J46" i="88"/>
  <c r="N46" i="88"/>
  <c r="N51" i="88" s="1"/>
  <c r="N53" i="88" s="1"/>
  <c r="R46" i="88"/>
  <c r="R51" i="88" s="1"/>
  <c r="R53" i="88" s="1"/>
  <c r="V46" i="88"/>
  <c r="V29" i="88"/>
  <c r="Z46" i="88"/>
  <c r="Z29" i="88"/>
  <c r="AD46" i="88"/>
  <c r="AD29" i="88"/>
  <c r="AH46" i="88"/>
  <c r="AH29" i="88"/>
  <c r="AL46" i="88"/>
  <c r="AL29" i="88"/>
  <c r="AP46" i="88"/>
  <c r="AP29" i="88"/>
  <c r="AT46" i="88"/>
  <c r="AT29" i="88"/>
  <c r="AX46" i="88"/>
  <c r="AX29" i="88"/>
  <c r="BB46" i="88"/>
  <c r="BB29" i="88"/>
  <c r="BF46" i="88"/>
  <c r="BF29" i="88"/>
  <c r="BF66" i="88"/>
  <c r="BJ46" i="88"/>
  <c r="BJ29" i="88"/>
  <c r="BN46" i="88"/>
  <c r="BN29" i="88"/>
  <c r="BR46" i="88"/>
  <c r="BR29" i="88"/>
  <c r="BV46" i="88"/>
  <c r="BV29" i="88"/>
  <c r="BZ46" i="88"/>
  <c r="BZ29" i="88"/>
  <c r="CD46" i="88"/>
  <c r="CD29" i="88"/>
  <c r="CH46" i="88"/>
  <c r="CH29" i="88"/>
  <c r="CL46" i="88"/>
  <c r="CL29" i="88"/>
  <c r="AF48" i="88"/>
  <c r="AF31" i="88"/>
  <c r="AF25" i="88"/>
  <c r="AR48" i="88"/>
  <c r="AR31" i="88"/>
  <c r="AR25" i="88"/>
  <c r="AZ48" i="88"/>
  <c r="AZ31" i="88"/>
  <c r="AZ25" i="88"/>
  <c r="BL48" i="88"/>
  <c r="BL31" i="88"/>
  <c r="BL25" i="88"/>
  <c r="BX48" i="88"/>
  <c r="BX31" i="88"/>
  <c r="BX25" i="88"/>
  <c r="CJ48" i="88"/>
  <c r="CJ31" i="88"/>
  <c r="CJ25" i="88"/>
  <c r="AP43" i="88"/>
  <c r="AP61" i="88" s="1"/>
  <c r="AP42" i="88"/>
  <c r="AP60" i="88" s="1"/>
  <c r="AP45" i="88"/>
  <c r="AP63" i="88" s="1"/>
  <c r="AP40" i="88"/>
  <c r="AP38" i="88"/>
  <c r="AP36" i="88"/>
  <c r="AP34" i="88"/>
  <c r="AP44" i="88"/>
  <c r="AP64" i="88" s="1"/>
  <c r="AP33" i="88"/>
  <c r="AP39" i="88"/>
  <c r="AP37" i="88"/>
  <c r="AP35" i="88"/>
  <c r="AP27" i="88"/>
  <c r="AP23" i="88"/>
  <c r="W49" i="88"/>
  <c r="W32" i="88"/>
  <c r="W26" i="88"/>
  <c r="AA49" i="88"/>
  <c r="AA32" i="88"/>
  <c r="AA26" i="88"/>
  <c r="AE49" i="88"/>
  <c r="AE32" i="88"/>
  <c r="AE26" i="88"/>
  <c r="AI49" i="88"/>
  <c r="AI32" i="88"/>
  <c r="AI26" i="88"/>
  <c r="AM49" i="88"/>
  <c r="AM32" i="88"/>
  <c r="AM26" i="88"/>
  <c r="AQ49" i="88"/>
  <c r="AQ32" i="88"/>
  <c r="AQ26" i="88"/>
  <c r="AU49" i="88"/>
  <c r="AU32" i="88"/>
  <c r="AU26" i="88"/>
  <c r="AY49" i="88"/>
  <c r="AY32" i="88"/>
  <c r="AY26" i="88"/>
  <c r="BC49" i="88"/>
  <c r="BC32" i="88"/>
  <c r="BC26" i="88"/>
  <c r="BG49" i="88"/>
  <c r="BG32" i="88"/>
  <c r="BG26" i="88"/>
  <c r="BK49" i="88"/>
  <c r="BK32" i="88"/>
  <c r="BK26" i="88"/>
  <c r="BO49" i="88"/>
  <c r="BO32" i="88"/>
  <c r="BO26" i="88"/>
  <c r="BS49" i="88"/>
  <c r="BS32" i="88"/>
  <c r="BS26" i="88"/>
  <c r="BW49" i="88"/>
  <c r="BW32" i="88"/>
  <c r="BW26" i="88"/>
  <c r="CA49" i="88"/>
  <c r="CA32" i="88"/>
  <c r="CA26" i="88"/>
  <c r="CE49" i="88"/>
  <c r="CE32" i="88"/>
  <c r="CE26" i="88"/>
  <c r="CI49" i="88"/>
  <c r="CI32" i="88"/>
  <c r="CI26" i="88"/>
  <c r="CM15" i="88"/>
  <c r="O50" i="88"/>
  <c r="O52" i="88" s="1"/>
  <c r="W46" i="88"/>
  <c r="W29" i="88"/>
  <c r="AA46" i="88"/>
  <c r="AA29" i="88"/>
  <c r="AE46" i="88"/>
  <c r="AE29" i="88"/>
  <c r="AI46" i="88"/>
  <c r="AI29" i="88"/>
  <c r="AM46" i="88"/>
  <c r="AM29" i="88"/>
  <c r="AQ46" i="88"/>
  <c r="AQ29" i="88"/>
  <c r="AU46" i="88"/>
  <c r="AU29" i="88"/>
  <c r="AY46" i="88"/>
  <c r="AY29" i="88"/>
  <c r="BC46" i="88"/>
  <c r="BC29" i="88"/>
  <c r="BG46" i="88"/>
  <c r="BG29" i="88"/>
  <c r="BK46" i="88"/>
  <c r="BK29" i="88"/>
  <c r="BO46" i="88"/>
  <c r="BO29" i="88"/>
  <c r="BS46" i="88"/>
  <c r="BS29" i="88"/>
  <c r="BW46" i="88"/>
  <c r="BW29" i="88"/>
  <c r="CA46" i="88"/>
  <c r="CA29" i="88"/>
  <c r="CE46" i="88"/>
  <c r="CE29" i="88"/>
  <c r="CI46" i="88"/>
  <c r="CI29" i="88"/>
  <c r="CM12" i="88"/>
  <c r="V47" i="88"/>
  <c r="V30" i="88"/>
  <c r="Z47" i="88"/>
  <c r="Z30" i="88"/>
  <c r="AD47" i="88"/>
  <c r="AD30" i="88"/>
  <c r="AH47" i="88"/>
  <c r="AH30" i="88"/>
  <c r="AL47" i="88"/>
  <c r="AL30" i="88"/>
  <c r="AP47" i="88"/>
  <c r="AP30" i="88"/>
  <c r="AT47" i="88"/>
  <c r="AT30" i="88"/>
  <c r="AX47" i="88"/>
  <c r="AX30" i="88"/>
  <c r="BB47" i="88"/>
  <c r="BB30" i="88"/>
  <c r="BF47" i="88"/>
  <c r="BF30" i="88"/>
  <c r="BJ47" i="88"/>
  <c r="BJ30" i="88"/>
  <c r="BN47" i="88"/>
  <c r="BN30" i="88"/>
  <c r="BR47" i="88"/>
  <c r="BR30" i="88"/>
  <c r="BV47" i="88"/>
  <c r="BV30" i="88"/>
  <c r="BZ47" i="88"/>
  <c r="BZ30" i="88"/>
  <c r="CD47" i="88"/>
  <c r="CD30" i="88"/>
  <c r="CH47" i="88"/>
  <c r="CH30" i="88"/>
  <c r="CL47" i="88"/>
  <c r="CL30" i="88"/>
  <c r="T49" i="88"/>
  <c r="T32" i="88"/>
  <c r="T26" i="88"/>
  <c r="X49" i="88"/>
  <c r="X32" i="88"/>
  <c r="X26" i="88"/>
  <c r="AB49" i="88"/>
  <c r="AB32" i="88"/>
  <c r="AB26" i="88"/>
  <c r="AF49" i="88"/>
  <c r="AF32" i="88"/>
  <c r="AF26" i="88"/>
  <c r="AJ49" i="88"/>
  <c r="AJ32" i="88"/>
  <c r="AJ26" i="88"/>
  <c r="AN49" i="88"/>
  <c r="AN32" i="88"/>
  <c r="AN26" i="88"/>
  <c r="AR49" i="88"/>
  <c r="AR32" i="88"/>
  <c r="AR26" i="88"/>
  <c r="AV49" i="88"/>
  <c r="AV32" i="88"/>
  <c r="AV26" i="88"/>
  <c r="AZ49" i="88"/>
  <c r="AZ32" i="88"/>
  <c r="AZ26" i="88"/>
  <c r="BD49" i="88"/>
  <c r="BD32" i="88"/>
  <c r="BD26" i="88"/>
  <c r="BH49" i="88"/>
  <c r="BH32" i="88"/>
  <c r="BH26" i="88"/>
  <c r="BL49" i="88"/>
  <c r="BL32" i="88"/>
  <c r="BL26" i="88"/>
  <c r="BP49" i="88"/>
  <c r="BP32" i="88"/>
  <c r="BP26" i="88"/>
  <c r="BT49" i="88"/>
  <c r="BT32" i="88"/>
  <c r="BT26" i="88"/>
  <c r="BX49" i="88"/>
  <c r="BX32" i="88"/>
  <c r="BX26" i="88"/>
  <c r="CB49" i="88"/>
  <c r="CB32" i="88"/>
  <c r="CB26" i="88"/>
  <c r="CF49" i="88"/>
  <c r="CF32" i="88"/>
  <c r="CF26" i="88"/>
  <c r="CJ49" i="88"/>
  <c r="CJ32" i="88"/>
  <c r="CJ26" i="88"/>
  <c r="U25" i="88"/>
  <c r="Y25" i="88"/>
  <c r="AC25" i="88"/>
  <c r="AG25" i="88"/>
  <c r="AK25" i="88"/>
  <c r="AO25" i="88"/>
  <c r="BE25" i="88"/>
  <c r="BJ25" i="88"/>
  <c r="BU25" i="88"/>
  <c r="CK25" i="88"/>
  <c r="AG26" i="88"/>
  <c r="AW26" i="88"/>
  <c r="BM26" i="88"/>
  <c r="U29" i="88"/>
  <c r="AK29" i="88"/>
  <c r="BA29" i="88"/>
  <c r="BQ29" i="88"/>
  <c r="CG29" i="88"/>
  <c r="U31" i="88"/>
  <c r="AK31" i="88"/>
  <c r="BA31" i="88"/>
  <c r="BQ31" i="88"/>
  <c r="CG31" i="88"/>
  <c r="AC32" i="88"/>
  <c r="AS32" i="88"/>
  <c r="BI32" i="88"/>
  <c r="BY32" i="88"/>
  <c r="X46" i="88"/>
  <c r="CJ46" i="88"/>
  <c r="BJ48" i="88"/>
  <c r="T46" i="88"/>
  <c r="T29" i="88"/>
  <c r="AB29" i="88"/>
  <c r="AB46" i="88"/>
  <c r="AF29" i="88"/>
  <c r="AF46" i="88"/>
  <c r="AJ46" i="88"/>
  <c r="AJ29" i="88"/>
  <c r="AR29" i="88"/>
  <c r="AR46" i="88"/>
  <c r="AV29" i="88"/>
  <c r="AV46" i="88"/>
  <c r="AZ46" i="88"/>
  <c r="AZ29" i="88"/>
  <c r="BH29" i="88"/>
  <c r="BH46" i="88"/>
  <c r="BL29" i="88"/>
  <c r="BL46" i="88"/>
  <c r="BP46" i="88"/>
  <c r="BP29" i="88"/>
  <c r="BX29" i="88"/>
  <c r="BX46" i="88"/>
  <c r="CB29" i="88"/>
  <c r="CB46" i="88"/>
  <c r="CF46" i="88"/>
  <c r="CF29" i="88"/>
  <c r="W47" i="88"/>
  <c r="W30" i="88"/>
  <c r="AA47" i="88"/>
  <c r="AA30" i="88"/>
  <c r="AE47" i="88"/>
  <c r="AE30" i="88"/>
  <c r="AM47" i="88"/>
  <c r="AM30" i="88"/>
  <c r="AQ30" i="88"/>
  <c r="AQ47" i="88"/>
  <c r="AU47" i="88"/>
  <c r="AU30" i="88"/>
  <c r="AY47" i="88"/>
  <c r="AY30" i="88"/>
  <c r="BC47" i="88"/>
  <c r="BC30" i="88"/>
  <c r="BG47" i="88"/>
  <c r="BG30" i="88"/>
  <c r="BK47" i="88"/>
  <c r="BK30" i="88"/>
  <c r="BS47" i="88"/>
  <c r="BS30" i="88"/>
  <c r="BW30" i="88"/>
  <c r="BW47" i="88"/>
  <c r="CA47" i="88"/>
  <c r="CA30" i="88"/>
  <c r="CE47" i="88"/>
  <c r="CE30" i="88"/>
  <c r="CI47" i="88"/>
  <c r="CI30" i="88"/>
  <c r="V48" i="88"/>
  <c r="V31" i="88"/>
  <c r="Z48" i="88"/>
  <c r="Z31" i="88"/>
  <c r="AD48" i="88"/>
  <c r="AD31" i="88"/>
  <c r="AH48" i="88"/>
  <c r="AH31" i="88"/>
  <c r="AL48" i="88"/>
  <c r="AL31" i="88"/>
  <c r="AP48" i="88"/>
  <c r="AP31" i="88"/>
  <c r="AT48" i="88"/>
  <c r="AT31" i="88"/>
  <c r="AX48" i="88"/>
  <c r="AX31" i="88"/>
  <c r="BB48" i="88"/>
  <c r="BB31" i="88"/>
  <c r="BF48" i="88"/>
  <c r="BF31" i="88"/>
  <c r="BN48" i="88"/>
  <c r="BN31" i="88"/>
  <c r="BR48" i="88"/>
  <c r="BR31" i="88"/>
  <c r="BV48" i="88"/>
  <c r="BV31" i="88"/>
  <c r="BZ48" i="88"/>
  <c r="BZ31" i="88"/>
  <c r="CD48" i="88"/>
  <c r="CD31" i="88"/>
  <c r="CH48" i="88"/>
  <c r="CH31" i="88"/>
  <c r="CL48" i="88"/>
  <c r="CL31" i="88"/>
  <c r="V24" i="88"/>
  <c r="Z24" i="88"/>
  <c r="AD24" i="88"/>
  <c r="AH24" i="88"/>
  <c r="AL24" i="88"/>
  <c r="AP24" i="88"/>
  <c r="AT24" i="88"/>
  <c r="AX24" i="88"/>
  <c r="BB24" i="88"/>
  <c r="BF24" i="88"/>
  <c r="BJ24" i="88"/>
  <c r="BN24" i="88"/>
  <c r="BR24" i="88"/>
  <c r="BV24" i="88"/>
  <c r="BZ24" i="88"/>
  <c r="CD24" i="88"/>
  <c r="CH24" i="88"/>
  <c r="CL24" i="88"/>
  <c r="V25" i="88"/>
  <c r="Z25" i="88"/>
  <c r="AD25" i="88"/>
  <c r="AH25" i="88"/>
  <c r="AL25" i="88"/>
  <c r="AP25" i="88"/>
  <c r="BA25" i="88"/>
  <c r="BF25" i="88"/>
  <c r="BQ25" i="88"/>
  <c r="BV25" i="88"/>
  <c r="CG25" i="88"/>
  <c r="CL25" i="88"/>
  <c r="AC26" i="88"/>
  <c r="AS26" i="88"/>
  <c r="BI26" i="88"/>
  <c r="BY26" i="88"/>
  <c r="CG26" i="88"/>
  <c r="Y29" i="88"/>
  <c r="AO29" i="88"/>
  <c r="BE29" i="88"/>
  <c r="BU29" i="88"/>
  <c r="CK29" i="88"/>
  <c r="Y31" i="88"/>
  <c r="AO31" i="88"/>
  <c r="BE31" i="88"/>
  <c r="BU31" i="88"/>
  <c r="CK31" i="88"/>
  <c r="AG32" i="88"/>
  <c r="AW32" i="88"/>
  <c r="BM32" i="88"/>
  <c r="CC32" i="88"/>
  <c r="AN46" i="88"/>
  <c r="AI47" i="88"/>
  <c r="AO49" i="88"/>
  <c r="AO51" i="88" s="1"/>
  <c r="AO53" i="88" s="1"/>
  <c r="J51" i="88"/>
  <c r="J53" i="88" s="1"/>
  <c r="BU51" i="88"/>
  <c r="BU53" i="88" s="1"/>
  <c r="P51" i="88"/>
  <c r="P53" i="88" s="1"/>
  <c r="O51" i="88"/>
  <c r="O53" i="88" s="1"/>
  <c r="BU50" i="88"/>
  <c r="BU52" i="88" s="1"/>
  <c r="CK50" i="88"/>
  <c r="CK52" i="88" s="1"/>
  <c r="T47" i="88"/>
  <c r="T30" i="88"/>
  <c r="X47" i="88"/>
  <c r="X30" i="88"/>
  <c r="AB47" i="88"/>
  <c r="AB30" i="88"/>
  <c r="AF47" i="88"/>
  <c r="AF30" i="88"/>
  <c r="AJ47" i="88"/>
  <c r="AJ30" i="88"/>
  <c r="AN47" i="88"/>
  <c r="AN30" i="88"/>
  <c r="AR47" i="88"/>
  <c r="AR30" i="88"/>
  <c r="AV47" i="88"/>
  <c r="AV30" i="88"/>
  <c r="AZ47" i="88"/>
  <c r="AZ30" i="88"/>
  <c r="BD47" i="88"/>
  <c r="BD30" i="88"/>
  <c r="BH47" i="88"/>
  <c r="BH30" i="88"/>
  <c r="BL47" i="88"/>
  <c r="BL30" i="88"/>
  <c r="BP47" i="88"/>
  <c r="BP30" i="88"/>
  <c r="BT47" i="88"/>
  <c r="BT30" i="88"/>
  <c r="BX47" i="88"/>
  <c r="BX30" i="88"/>
  <c r="CB47" i="88"/>
  <c r="CB30" i="88"/>
  <c r="CF47" i="88"/>
  <c r="CF30" i="88"/>
  <c r="CJ47" i="88"/>
  <c r="CJ30" i="88"/>
  <c r="W48" i="88"/>
  <c r="W31" i="88"/>
  <c r="AA48" i="88"/>
  <c r="AA31" i="88"/>
  <c r="AE48" i="88"/>
  <c r="AE31" i="88"/>
  <c r="AI48" i="88"/>
  <c r="AI31" i="88"/>
  <c r="AM48" i="88"/>
  <c r="AM31" i="88"/>
  <c r="AQ48" i="88"/>
  <c r="AQ31" i="88"/>
  <c r="AU48" i="88"/>
  <c r="AU31" i="88"/>
  <c r="AY48" i="88"/>
  <c r="AY31" i="88"/>
  <c r="BC48" i="88"/>
  <c r="BC31" i="88"/>
  <c r="BG48" i="88"/>
  <c r="BG31" i="88"/>
  <c r="BK48" i="88"/>
  <c r="BK31" i="88"/>
  <c r="BO48" i="88"/>
  <c r="BO31" i="88"/>
  <c r="BS48" i="88"/>
  <c r="BS31" i="88"/>
  <c r="BW48" i="88"/>
  <c r="BW31" i="88"/>
  <c r="CA48" i="88"/>
  <c r="CA31" i="88"/>
  <c r="CE48" i="88"/>
  <c r="CE31" i="88"/>
  <c r="CI48" i="88"/>
  <c r="CI31" i="88"/>
  <c r="CM14" i="88"/>
  <c r="V49" i="88"/>
  <c r="V32" i="88"/>
  <c r="Z49" i="88"/>
  <c r="Z32" i="88"/>
  <c r="AD49" i="88"/>
  <c r="AD32" i="88"/>
  <c r="AH49" i="88"/>
  <c r="AH32" i="88"/>
  <c r="AL49" i="88"/>
  <c r="AL32" i="88"/>
  <c r="AP49" i="88"/>
  <c r="AP32" i="88"/>
  <c r="AT49" i="88"/>
  <c r="AT32" i="88"/>
  <c r="AX49" i="88"/>
  <c r="AX32" i="88"/>
  <c r="BB49" i="88"/>
  <c r="BB32" i="88"/>
  <c r="BF49" i="88"/>
  <c r="BF32" i="88"/>
  <c r="BJ49" i="88"/>
  <c r="BJ32" i="88"/>
  <c r="BN49" i="88"/>
  <c r="BN32" i="88"/>
  <c r="BR49" i="88"/>
  <c r="BR51" i="88" s="1"/>
  <c r="BR53" i="88" s="1"/>
  <c r="BR32" i="88"/>
  <c r="BV49" i="88"/>
  <c r="BV32" i="88"/>
  <c r="BZ49" i="88"/>
  <c r="BZ32" i="88"/>
  <c r="BZ26" i="88"/>
  <c r="CD49" i="88"/>
  <c r="CD32" i="88"/>
  <c r="CD26" i="88"/>
  <c r="CH49" i="88"/>
  <c r="CH32" i="88"/>
  <c r="CH26" i="88"/>
  <c r="CL49" i="88"/>
  <c r="CL32" i="88"/>
  <c r="CL26" i="88"/>
  <c r="AK66" i="88"/>
  <c r="BD66" i="88"/>
  <c r="CJ66" i="88"/>
  <c r="W24" i="88"/>
  <c r="AA24" i="88"/>
  <c r="AE24" i="88"/>
  <c r="AI24" i="88"/>
  <c r="AM24" i="88"/>
  <c r="AQ24" i="88"/>
  <c r="AU24" i="88"/>
  <c r="AY24" i="88"/>
  <c r="BC24" i="88"/>
  <c r="BG24" i="88"/>
  <c r="BK24" i="88"/>
  <c r="BO24" i="88"/>
  <c r="BS24" i="88"/>
  <c r="BW24" i="88"/>
  <c r="CA24" i="88"/>
  <c r="CE24" i="88"/>
  <c r="CI24" i="88"/>
  <c r="W25" i="88"/>
  <c r="AA25" i="88"/>
  <c r="AE25" i="88"/>
  <c r="AI25" i="88"/>
  <c r="AM25" i="88"/>
  <c r="AQ25" i="88"/>
  <c r="AW25" i="88"/>
  <c r="BB25" i="88"/>
  <c r="BG25" i="88"/>
  <c r="BM25" i="88"/>
  <c r="BR25" i="88"/>
  <c r="BW25" i="88"/>
  <c r="CC25" i="88"/>
  <c r="CH25" i="88"/>
  <c r="Y26" i="88"/>
  <c r="AD26" i="88"/>
  <c r="AT26" i="88"/>
  <c r="BE26" i="88"/>
  <c r="BJ26" i="88"/>
  <c r="BU26" i="88"/>
  <c r="AC29" i="88"/>
  <c r="AS29" i="88"/>
  <c r="BI29" i="88"/>
  <c r="BY29" i="88"/>
  <c r="AC31" i="88"/>
  <c r="AS31" i="88"/>
  <c r="BI31" i="88"/>
  <c r="BY31" i="88"/>
  <c r="U32" i="88"/>
  <c r="AK32" i="88"/>
  <c r="BA32" i="88"/>
  <c r="BQ32" i="88"/>
  <c r="CG32" i="88"/>
  <c r="BD46" i="88"/>
  <c r="BO47" i="88"/>
  <c r="FV41" i="88"/>
  <c r="J47" i="83"/>
  <c r="N47" i="83"/>
  <c r="R47" i="83"/>
  <c r="V47" i="83"/>
  <c r="Z47" i="83"/>
  <c r="AD47" i="83"/>
  <c r="AH47" i="83"/>
  <c r="AL47" i="83"/>
  <c r="AP47" i="83"/>
  <c r="AT47" i="83"/>
  <c r="AX47" i="83"/>
  <c r="BB47" i="83"/>
  <c r="BF47" i="83"/>
  <c r="BJ47" i="83"/>
  <c r="BN47" i="83"/>
  <c r="BR47" i="83"/>
  <c r="BV47" i="83"/>
  <c r="BZ47" i="83"/>
  <c r="CD47" i="83"/>
  <c r="CH47" i="83"/>
  <c r="CL47" i="83"/>
  <c r="U48" i="83"/>
  <c r="Y48" i="83"/>
  <c r="AC48" i="83"/>
  <c r="AG48" i="83"/>
  <c r="AK48" i="83"/>
  <c r="AO48" i="83"/>
  <c r="AS48" i="83"/>
  <c r="AW48" i="83"/>
  <c r="BA48" i="83"/>
  <c r="BE48" i="83"/>
  <c r="BI48" i="83"/>
  <c r="BM48" i="83"/>
  <c r="BQ48" i="83"/>
  <c r="BU48" i="83"/>
  <c r="BY48" i="83"/>
  <c r="CC48" i="83"/>
  <c r="CG48" i="83"/>
  <c r="CK48" i="83"/>
  <c r="T49" i="83"/>
  <c r="X49" i="83"/>
  <c r="AB49" i="83"/>
  <c r="AF49" i="83"/>
  <c r="AJ49" i="83"/>
  <c r="AN49" i="83"/>
  <c r="AR49" i="83"/>
  <c r="AV49" i="83"/>
  <c r="AZ49" i="83"/>
  <c r="BD49" i="83"/>
  <c r="BH49" i="83"/>
  <c r="BL49" i="83"/>
  <c r="BP49" i="83"/>
  <c r="BT49" i="83"/>
  <c r="BX49" i="83"/>
  <c r="CB49" i="83"/>
  <c r="CF49" i="83"/>
  <c r="CJ49" i="83"/>
  <c r="W50" i="83"/>
  <c r="AA50" i="83"/>
  <c r="AE50" i="83"/>
  <c r="AI50" i="83"/>
  <c r="AM50" i="83"/>
  <c r="AQ50" i="83"/>
  <c r="AU50" i="83"/>
  <c r="AY50" i="83"/>
  <c r="BC50" i="83"/>
  <c r="BG50" i="83"/>
  <c r="BK50" i="83"/>
  <c r="BO50" i="83"/>
  <c r="BS50" i="83"/>
  <c r="BW50" i="83"/>
  <c r="CA50" i="83"/>
  <c r="CE50" i="83"/>
  <c r="CI50" i="83"/>
  <c r="K47" i="83"/>
  <c r="O47" i="83"/>
  <c r="S47" i="83"/>
  <c r="W47" i="83"/>
  <c r="AA47" i="83"/>
  <c r="AE47" i="83"/>
  <c r="AI47" i="83"/>
  <c r="AM47" i="83"/>
  <c r="AQ47" i="83"/>
  <c r="AU47" i="83"/>
  <c r="AY47" i="83"/>
  <c r="BC47" i="83"/>
  <c r="BG47" i="83"/>
  <c r="BK47" i="83"/>
  <c r="BO47" i="83"/>
  <c r="BS47" i="83"/>
  <c r="BW47" i="83"/>
  <c r="CA47" i="83"/>
  <c r="CE47" i="83"/>
  <c r="CI47" i="83"/>
  <c r="V48" i="83"/>
  <c r="Z48" i="83"/>
  <c r="AD48" i="83"/>
  <c r="AH48" i="83"/>
  <c r="AL48" i="83"/>
  <c r="AP48" i="83"/>
  <c r="AT48" i="83"/>
  <c r="AX48" i="83"/>
  <c r="BB48" i="83"/>
  <c r="BF48" i="83"/>
  <c r="BJ48" i="83"/>
  <c r="BN48" i="83"/>
  <c r="BR48" i="83"/>
  <c r="BV48" i="83"/>
  <c r="BZ48" i="83"/>
  <c r="CD48" i="83"/>
  <c r="CH48" i="83"/>
  <c r="CL48" i="83"/>
  <c r="U49" i="83"/>
  <c r="Y49" i="83"/>
  <c r="AC49" i="83"/>
  <c r="AG49" i="83"/>
  <c r="AK49" i="83"/>
  <c r="AO49" i="83"/>
  <c r="AS49" i="83"/>
  <c r="AW49" i="83"/>
  <c r="BA49" i="83"/>
  <c r="BE49" i="83"/>
  <c r="BI49" i="83"/>
  <c r="BM49" i="83"/>
  <c r="BQ49" i="83"/>
  <c r="BU49" i="83"/>
  <c r="BY49" i="83"/>
  <c r="CC49" i="83"/>
  <c r="CG49" i="83"/>
  <c r="CK49" i="83"/>
  <c r="T50" i="83"/>
  <c r="X50" i="83"/>
  <c r="AB50" i="83"/>
  <c r="AF50" i="83"/>
  <c r="AJ50" i="83"/>
  <c r="AN50" i="83"/>
  <c r="AR50" i="83"/>
  <c r="AV50" i="83"/>
  <c r="AZ50" i="83"/>
  <c r="BD50" i="83"/>
  <c r="BH50" i="83"/>
  <c r="BL50" i="83"/>
  <c r="BP50" i="83"/>
  <c r="BT50" i="83"/>
  <c r="BX50" i="83"/>
  <c r="CB50" i="83"/>
  <c r="CF50" i="83"/>
  <c r="CJ50" i="83"/>
  <c r="J65" i="83"/>
  <c r="N65" i="83"/>
  <c r="V65" i="83"/>
  <c r="Z65" i="83"/>
  <c r="AD65" i="83"/>
  <c r="AL65" i="83"/>
  <c r="AP65" i="83"/>
  <c r="AT65" i="83"/>
  <c r="BB65" i="83"/>
  <c r="BF65" i="83"/>
  <c r="BJ65" i="83"/>
  <c r="BR65" i="83"/>
  <c r="BV65" i="83"/>
  <c r="BZ65" i="83"/>
  <c r="CH65" i="83"/>
  <c r="CL65" i="83"/>
  <c r="H47" i="83"/>
  <c r="L47" i="83"/>
  <c r="P47" i="83"/>
  <c r="T47" i="83"/>
  <c r="X47" i="83"/>
  <c r="AB47" i="83"/>
  <c r="AF47" i="83"/>
  <c r="AJ47" i="83"/>
  <c r="AN47" i="83"/>
  <c r="AR47" i="83"/>
  <c r="AV47" i="83"/>
  <c r="AZ47" i="83"/>
  <c r="BD47" i="83"/>
  <c r="BH47" i="83"/>
  <c r="BL47" i="83"/>
  <c r="BP47" i="83"/>
  <c r="BT47" i="83"/>
  <c r="BX47" i="83"/>
  <c r="CB47" i="83"/>
  <c r="CF47" i="83"/>
  <c r="CJ47" i="83"/>
  <c r="W48" i="83"/>
  <c r="AA48" i="83"/>
  <c r="AE48" i="83"/>
  <c r="AI48" i="83"/>
  <c r="AM48" i="83"/>
  <c r="AQ48" i="83"/>
  <c r="AU48" i="83"/>
  <c r="AY48" i="83"/>
  <c r="BC48" i="83"/>
  <c r="BG48" i="83"/>
  <c r="BK48" i="83"/>
  <c r="BO48" i="83"/>
  <c r="BS48" i="83"/>
  <c r="BW48" i="83"/>
  <c r="CA48" i="83"/>
  <c r="CE48" i="83"/>
  <c r="CI48" i="83"/>
  <c r="V49" i="83"/>
  <c r="Z49" i="83"/>
  <c r="AD49" i="83"/>
  <c r="AH49" i="83"/>
  <c r="AL49" i="83"/>
  <c r="AP49" i="83"/>
  <c r="AT49" i="83"/>
  <c r="AX49" i="83"/>
  <c r="BB49" i="83"/>
  <c r="BF49" i="83"/>
  <c r="BJ49" i="83"/>
  <c r="BN49" i="83"/>
  <c r="BR49" i="83"/>
  <c r="BV49" i="83"/>
  <c r="BZ49" i="83"/>
  <c r="CD49" i="83"/>
  <c r="CH49" i="83"/>
  <c r="CL49" i="83"/>
  <c r="U50" i="83"/>
  <c r="Y50" i="83"/>
  <c r="AC50" i="83"/>
  <c r="AG50" i="83"/>
  <c r="AK50" i="83"/>
  <c r="AO50" i="83"/>
  <c r="AS50" i="83"/>
  <c r="AW50" i="83"/>
  <c r="BA50" i="83"/>
  <c r="BE50" i="83"/>
  <c r="BI50" i="83"/>
  <c r="BM50" i="83"/>
  <c r="BQ50" i="83"/>
  <c r="BU50" i="83"/>
  <c r="BY50" i="83"/>
  <c r="CC50" i="83"/>
  <c r="CG50" i="83"/>
  <c r="CK50" i="83"/>
  <c r="K65" i="83"/>
  <c r="O65" i="83"/>
  <c r="S65" i="83"/>
  <c r="AA65" i="83"/>
  <c r="AE65" i="83"/>
  <c r="AI65" i="83"/>
  <c r="AQ65" i="83"/>
  <c r="AU65" i="83"/>
  <c r="AY65" i="83"/>
  <c r="BG65" i="83"/>
  <c r="BK65" i="83"/>
  <c r="BO65" i="83"/>
  <c r="BW65" i="83"/>
  <c r="CA65" i="83"/>
  <c r="CE65" i="83"/>
  <c r="I47" i="83"/>
  <c r="M47" i="83"/>
  <c r="Q47" i="83"/>
  <c r="U47" i="83"/>
  <c r="Y47" i="83"/>
  <c r="AC47" i="83"/>
  <c r="AG47" i="83"/>
  <c r="AK47" i="83"/>
  <c r="AO47" i="83"/>
  <c r="AS47" i="83"/>
  <c r="AW47" i="83"/>
  <c r="BA47" i="83"/>
  <c r="BE47" i="83"/>
  <c r="BI47" i="83"/>
  <c r="BM47" i="83"/>
  <c r="BQ47" i="83"/>
  <c r="BU47" i="83"/>
  <c r="BY47" i="83"/>
  <c r="CC47" i="83"/>
  <c r="CG47" i="83"/>
  <c r="CK47" i="83"/>
  <c r="T48" i="83"/>
  <c r="X48" i="83"/>
  <c r="AB48" i="83"/>
  <c r="AF48" i="83"/>
  <c r="AJ48" i="83"/>
  <c r="AN48" i="83"/>
  <c r="AR48" i="83"/>
  <c r="AV48" i="83"/>
  <c r="AZ48" i="83"/>
  <c r="BD48" i="83"/>
  <c r="BH48" i="83"/>
  <c r="BL48" i="83"/>
  <c r="BP48" i="83"/>
  <c r="BT48" i="83"/>
  <c r="BX48" i="83"/>
  <c r="CB48" i="83"/>
  <c r="CF48" i="83"/>
  <c r="CJ48" i="83"/>
  <c r="W49" i="83"/>
  <c r="AA49" i="83"/>
  <c r="AE49" i="83"/>
  <c r="AI49" i="83"/>
  <c r="AM49" i="83"/>
  <c r="AQ49" i="83"/>
  <c r="AU49" i="83"/>
  <c r="AY49" i="83"/>
  <c r="BC49" i="83"/>
  <c r="BG49" i="83"/>
  <c r="BK49" i="83"/>
  <c r="BO49" i="83"/>
  <c r="BS49" i="83"/>
  <c r="BW49" i="83"/>
  <c r="CA49" i="83"/>
  <c r="CE49" i="83"/>
  <c r="CI49" i="83"/>
  <c r="V50" i="83"/>
  <c r="Z50" i="83"/>
  <c r="AD50" i="83"/>
  <c r="AH50" i="83"/>
  <c r="AL50" i="83"/>
  <c r="AP50" i="83"/>
  <c r="AT50" i="83"/>
  <c r="AX50" i="83"/>
  <c r="BB50" i="83"/>
  <c r="BF50" i="83"/>
  <c r="BJ50" i="83"/>
  <c r="BN50" i="83"/>
  <c r="BR50" i="83"/>
  <c r="BV50" i="83"/>
  <c r="BZ50" i="83"/>
  <c r="CD50" i="83"/>
  <c r="CH50" i="83"/>
  <c r="CL50" i="83"/>
  <c r="BE65" i="83"/>
  <c r="CG65" i="83"/>
  <c r="H65" i="83"/>
  <c r="L65" i="83"/>
  <c r="T65" i="83"/>
  <c r="X65" i="83"/>
  <c r="AB65" i="83"/>
  <c r="AJ65" i="83"/>
  <c r="AN65" i="83"/>
  <c r="AR65" i="83"/>
  <c r="AZ65" i="83"/>
  <c r="BD65" i="83"/>
  <c r="BH65" i="83"/>
  <c r="BP65" i="83"/>
  <c r="BT65" i="83"/>
  <c r="BX65" i="83"/>
  <c r="CF65" i="83"/>
  <c r="CJ65" i="83"/>
  <c r="H21" i="77"/>
  <c r="CG50" i="88" l="1"/>
  <c r="CG52" i="88" s="1"/>
  <c r="BA50" i="88"/>
  <c r="BA52" i="88" s="1"/>
  <c r="BJ37" i="88"/>
  <c r="BJ45" i="88"/>
  <c r="BJ63" i="88" s="1"/>
  <c r="M51" i="88"/>
  <c r="M53" i="88" s="1"/>
  <c r="BJ66" i="88"/>
  <c r="BQ50" i="88"/>
  <c r="BQ52" i="88" s="1"/>
  <c r="BJ39" i="88"/>
  <c r="BJ42" i="88"/>
  <c r="BJ60" i="88" s="1"/>
  <c r="BE51" i="88"/>
  <c r="BE53" i="88" s="1"/>
  <c r="BJ33" i="88"/>
  <c r="BJ43" i="88"/>
  <c r="BJ61" i="88" s="1"/>
  <c r="R56" i="83"/>
  <c r="BY50" i="88"/>
  <c r="BY52" i="88" s="1"/>
  <c r="BJ34" i="88"/>
  <c r="BJ36" i="88"/>
  <c r="CG51" i="88"/>
  <c r="CG53" i="88" s="1"/>
  <c r="BA51" i="88"/>
  <c r="BA53" i="88" s="1"/>
  <c r="BJ23" i="88"/>
  <c r="BJ38" i="88"/>
  <c r="BJ27" i="88"/>
  <c r="P29" i="83"/>
  <c r="M56" i="83"/>
  <c r="BY29" i="83"/>
  <c r="AZ66" i="88"/>
  <c r="BG66" i="88"/>
  <c r="X66" i="88"/>
  <c r="AT66" i="88"/>
  <c r="CF66" i="88"/>
  <c r="T66" i="88"/>
  <c r="AP66" i="88"/>
  <c r="AK51" i="88"/>
  <c r="AK53" i="88" s="1"/>
  <c r="Y50" i="88"/>
  <c r="Y52" i="88" s="1"/>
  <c r="AS50" i="88"/>
  <c r="AS52" i="88" s="1"/>
  <c r="U50" i="88"/>
  <c r="U52" i="88" s="1"/>
  <c r="L50" i="88"/>
  <c r="L52" i="88" s="1"/>
  <c r="S51" i="88"/>
  <c r="S53" i="88" s="1"/>
  <c r="K51" i="88"/>
  <c r="K53" i="88" s="1"/>
  <c r="Q50" i="88"/>
  <c r="Q52" i="88" s="1"/>
  <c r="I51" i="88"/>
  <c r="I53" i="88" s="1"/>
  <c r="BV45" i="88"/>
  <c r="BV63" i="88" s="1"/>
  <c r="CH51" i="88"/>
  <c r="CH53" i="88" s="1"/>
  <c r="BV66" i="88"/>
  <c r="BV23" i="88"/>
  <c r="BV36" i="88"/>
  <c r="J39" i="88"/>
  <c r="J43" i="88"/>
  <c r="J61" i="88" s="1"/>
  <c r="N36" i="88"/>
  <c r="AS29" i="83"/>
  <c r="BI29" i="83"/>
  <c r="Y29" i="83"/>
  <c r="BV27" i="88"/>
  <c r="BV38" i="88"/>
  <c r="J44" i="88"/>
  <c r="J64" i="88" s="1"/>
  <c r="N38" i="88"/>
  <c r="BV37" i="88"/>
  <c r="Y51" i="88"/>
  <c r="Y53" i="88" s="1"/>
  <c r="N66" i="88"/>
  <c r="BV39" i="88"/>
  <c r="BV42" i="88"/>
  <c r="BV60" i="88" s="1"/>
  <c r="J38" i="88"/>
  <c r="N35" i="88"/>
  <c r="N45" i="88"/>
  <c r="N63" i="88" s="1"/>
  <c r="J36" i="88"/>
  <c r="BE50" i="88"/>
  <c r="BE52" i="88" s="1"/>
  <c r="BV33" i="88"/>
  <c r="BV43" i="88"/>
  <c r="BV61" i="88" s="1"/>
  <c r="J40" i="88"/>
  <c r="BZ34" i="88"/>
  <c r="N37" i="88"/>
  <c r="N42" i="88"/>
  <c r="N60" i="88" s="1"/>
  <c r="J66" i="88"/>
  <c r="BV44" i="88"/>
  <c r="BV64" i="88" s="1"/>
  <c r="J35" i="88"/>
  <c r="J45" i="88"/>
  <c r="J63" i="88" s="1"/>
  <c r="N39" i="88"/>
  <c r="N43" i="88"/>
  <c r="N61" i="88" s="1"/>
  <c r="AO29" i="83"/>
  <c r="BE29" i="83"/>
  <c r="BU29" i="83"/>
  <c r="CK29" i="83"/>
  <c r="J37" i="88"/>
  <c r="AD27" i="88"/>
  <c r="AD44" i="88"/>
  <c r="AD64" i="88" s="1"/>
  <c r="AD35" i="88"/>
  <c r="AD40" i="88"/>
  <c r="AD39" i="88"/>
  <c r="AD42" i="88"/>
  <c r="AD60" i="88" s="1"/>
  <c r="AD33" i="88"/>
  <c r="AD28" i="88" s="1"/>
  <c r="AD43" i="88"/>
  <c r="AD61" i="88" s="1"/>
  <c r="AD34" i="88"/>
  <c r="AD36" i="88"/>
  <c r="AD23" i="88"/>
  <c r="B8" i="95"/>
  <c r="B8" i="103"/>
  <c r="B8" i="102"/>
  <c r="B8" i="101"/>
  <c r="U29" i="83"/>
  <c r="X29" i="83"/>
  <c r="O56" i="83"/>
  <c r="S29" i="83"/>
  <c r="V29" i="83"/>
  <c r="N56" i="83"/>
  <c r="K56" i="83"/>
  <c r="AI29" i="83"/>
  <c r="AY29" i="83"/>
  <c r="BO29" i="83"/>
  <c r="CE29" i="83"/>
  <c r="T29" i="83"/>
  <c r="Q56" i="83"/>
  <c r="Q29" i="83"/>
  <c r="CC29" i="83"/>
  <c r="AR29" i="83"/>
  <c r="BH29" i="83"/>
  <c r="BX29" i="83"/>
  <c r="L56" i="83"/>
  <c r="P56" i="83"/>
  <c r="Z29" i="83"/>
  <c r="AL29" i="83"/>
  <c r="BB29" i="83"/>
  <c r="BR29" i="83"/>
  <c r="CH29" i="83"/>
  <c r="R29" i="83"/>
  <c r="BW66" i="88"/>
  <c r="AQ66" i="88"/>
  <c r="K66" i="88"/>
  <c r="BZ23" i="88"/>
  <c r="BZ38" i="88"/>
  <c r="BG51" i="88"/>
  <c r="BG53" i="88" s="1"/>
  <c r="AQ51" i="88"/>
  <c r="AQ53" i="88" s="1"/>
  <c r="BZ27" i="88"/>
  <c r="BZ44" i="88"/>
  <c r="BZ64" i="88" s="1"/>
  <c r="BO51" i="88"/>
  <c r="BO53" i="88" s="1"/>
  <c r="BZ35" i="88"/>
  <c r="BZ40" i="88"/>
  <c r="BT66" i="88"/>
  <c r="AN66" i="88"/>
  <c r="H66" i="88"/>
  <c r="BZ66" i="88"/>
  <c r="BZ37" i="88"/>
  <c r="BZ45" i="88"/>
  <c r="BZ63" i="88" s="1"/>
  <c r="BP51" i="88"/>
  <c r="BP53" i="88" s="1"/>
  <c r="BP66" i="88"/>
  <c r="AJ66" i="88"/>
  <c r="BM51" i="88"/>
  <c r="BM53" i="88" s="1"/>
  <c r="AQ54" i="88"/>
  <c r="AY54" i="88"/>
  <c r="BZ39" i="88"/>
  <c r="BZ42" i="88"/>
  <c r="BZ60" i="88" s="1"/>
  <c r="BZ36" i="88"/>
  <c r="BT51" i="88"/>
  <c r="BT53" i="88" s="1"/>
  <c r="BZ33" i="88"/>
  <c r="AN29" i="83"/>
  <c r="BD29" i="83"/>
  <c r="BT29" i="83"/>
  <c r="CJ29" i="83"/>
  <c r="BW29" i="83"/>
  <c r="AH29" i="83"/>
  <c r="AX29" i="83"/>
  <c r="BN29" i="83"/>
  <c r="CD29" i="83"/>
  <c r="N29" i="83"/>
  <c r="AD29" i="83"/>
  <c r="AT29" i="83"/>
  <c r="CL29" i="83"/>
  <c r="J56" i="83"/>
  <c r="S56" i="83"/>
  <c r="K29" i="83"/>
  <c r="AA29" i="83"/>
  <c r="AQ29" i="83"/>
  <c r="BG29" i="83"/>
  <c r="CM29" i="83"/>
  <c r="AK29" i="83"/>
  <c r="BA29" i="83"/>
  <c r="BQ29" i="83"/>
  <c r="CG29" i="83"/>
  <c r="AG29" i="83"/>
  <c r="BM29" i="83"/>
  <c r="AJ29" i="83"/>
  <c r="AZ29" i="83"/>
  <c r="BP29" i="83"/>
  <c r="CF29" i="83"/>
  <c r="AF29" i="83"/>
  <c r="BL29" i="83"/>
  <c r="BZ29" i="83"/>
  <c r="BF29" i="83"/>
  <c r="AI51" i="88"/>
  <c r="AI53" i="88" s="1"/>
  <c r="CI51" i="88"/>
  <c r="CI53" i="88" s="1"/>
  <c r="BS51" i="88"/>
  <c r="BS53" i="88" s="1"/>
  <c r="W51" i="88"/>
  <c r="W53" i="88" s="1"/>
  <c r="W29" i="83"/>
  <c r="AM29" i="83"/>
  <c r="BC29" i="83"/>
  <c r="BS29" i="83"/>
  <c r="CI29" i="83"/>
  <c r="CJ51" i="88"/>
  <c r="CJ53" i="88" s="1"/>
  <c r="AK50" i="88"/>
  <c r="AK52" i="88" s="1"/>
  <c r="BO54" i="88"/>
  <c r="CM48" i="88"/>
  <c r="O29" i="83"/>
  <c r="AP29" i="83"/>
  <c r="BV29" i="83"/>
  <c r="H51" i="88"/>
  <c r="H53" i="88" s="1"/>
  <c r="AE29" i="83"/>
  <c r="AU29" i="83"/>
  <c r="BK29" i="83"/>
  <c r="CA29" i="83"/>
  <c r="BJ29" i="83"/>
  <c r="BL51" i="88"/>
  <c r="BL53" i="88" s="1"/>
  <c r="AF51" i="88"/>
  <c r="AF53" i="88" s="1"/>
  <c r="BQ51" i="88"/>
  <c r="BQ53" i="88" s="1"/>
  <c r="CE54" i="88"/>
  <c r="CA51" i="88"/>
  <c r="CA53" i="88" s="1"/>
  <c r="CI66" i="88"/>
  <c r="BC66" i="88"/>
  <c r="AM66" i="88"/>
  <c r="AM51" i="88"/>
  <c r="AM53" i="88" s="1"/>
  <c r="CM46" i="88"/>
  <c r="BB51" i="88"/>
  <c r="BB53" i="88" s="1"/>
  <c r="AL51" i="88"/>
  <c r="AL53" i="88" s="1"/>
  <c r="V51" i="88"/>
  <c r="V53" i="88" s="1"/>
  <c r="CF51" i="88"/>
  <c r="CF53" i="88" s="1"/>
  <c r="BX51" i="88"/>
  <c r="BX53" i="88" s="1"/>
  <c r="BH51" i="88"/>
  <c r="BH53" i="88" s="1"/>
  <c r="AZ51" i="88"/>
  <c r="AZ53" i="88" s="1"/>
  <c r="AR51" i="88"/>
  <c r="AR53" i="88" s="1"/>
  <c r="AB51" i="88"/>
  <c r="AB53" i="88" s="1"/>
  <c r="U51" i="88"/>
  <c r="U53" i="88" s="1"/>
  <c r="CE66" i="88"/>
  <c r="BO66" i="88"/>
  <c r="AY66" i="88"/>
  <c r="AI66" i="88"/>
  <c r="S66" i="88"/>
  <c r="AG66" i="88"/>
  <c r="BS66" i="88"/>
  <c r="W66" i="88"/>
  <c r="AY51" i="88"/>
  <c r="AY53" i="88" s="1"/>
  <c r="BQ66" i="88"/>
  <c r="AU51" i="88"/>
  <c r="AU53" i="88" s="1"/>
  <c r="CE51" i="88"/>
  <c r="CE53" i="88" s="1"/>
  <c r="AA51" i="88"/>
  <c r="AA53" i="88" s="1"/>
  <c r="AW50" i="88"/>
  <c r="AW52" i="88" s="1"/>
  <c r="BW54" i="88"/>
  <c r="BG54" i="88"/>
  <c r="AA54" i="88"/>
  <c r="K54" i="88"/>
  <c r="CB51" i="88"/>
  <c r="CB53" i="88" s="1"/>
  <c r="BS54" i="88"/>
  <c r="BX66" i="88"/>
  <c r="BH66" i="88"/>
  <c r="AR66" i="88"/>
  <c r="AB66" i="88"/>
  <c r="L66" i="88"/>
  <c r="AV51" i="88"/>
  <c r="AV53" i="88" s="1"/>
  <c r="AG51" i="88"/>
  <c r="AG53" i="88" s="1"/>
  <c r="AJ51" i="88"/>
  <c r="AJ53" i="88" s="1"/>
  <c r="BX54" i="88"/>
  <c r="BH54" i="88"/>
  <c r="AR54" i="88"/>
  <c r="AB54" i="88"/>
  <c r="L54" i="88"/>
  <c r="CM49" i="88"/>
  <c r="BI66" i="88"/>
  <c r="CL54" i="88"/>
  <c r="CL51" i="88"/>
  <c r="CL53" i="88" s="1"/>
  <c r="CH54" i="88"/>
  <c r="CD54" i="88"/>
  <c r="BZ54" i="88"/>
  <c r="BZ51" i="88"/>
  <c r="BZ53" i="88" s="1"/>
  <c r="BV54" i="88"/>
  <c r="BV51" i="88"/>
  <c r="BV53" i="88" s="1"/>
  <c r="BR54" i="88"/>
  <c r="BN54" i="88"/>
  <c r="BJ54" i="88"/>
  <c r="BF54" i="88"/>
  <c r="BB54" i="88"/>
  <c r="AX54" i="88"/>
  <c r="AT54" i="88"/>
  <c r="AP54" i="88"/>
  <c r="AP51" i="88"/>
  <c r="AP53" i="88" s="1"/>
  <c r="AL54" i="88"/>
  <c r="AH54" i="88"/>
  <c r="AD54" i="88"/>
  <c r="Z54" i="88"/>
  <c r="V54" i="88"/>
  <c r="R54" i="88"/>
  <c r="BC51" i="88"/>
  <c r="BC53" i="88" s="1"/>
  <c r="AE51" i="88"/>
  <c r="AE53" i="88" s="1"/>
  <c r="CC50" i="88"/>
  <c r="CC52" i="88" s="1"/>
  <c r="AI54" i="88"/>
  <c r="BW51" i="88"/>
  <c r="BW53" i="88" s="1"/>
  <c r="BT50" i="88"/>
  <c r="BT52" i="88" s="1"/>
  <c r="CM24" i="88"/>
  <c r="CM48" i="83"/>
  <c r="BU44" i="88"/>
  <c r="BU64" i="88" s="1"/>
  <c r="BU43" i="88"/>
  <c r="BU61" i="88" s="1"/>
  <c r="BU42" i="88"/>
  <c r="BU60" i="88" s="1"/>
  <c r="BU45" i="88"/>
  <c r="BU63" i="88" s="1"/>
  <c r="BU40" i="88"/>
  <c r="BU38" i="88"/>
  <c r="BU36" i="88"/>
  <c r="BU34" i="88"/>
  <c r="BU33" i="88"/>
  <c r="BU28" i="88" s="1"/>
  <c r="BU35" i="88"/>
  <c r="BU27" i="88"/>
  <c r="BU39" i="88"/>
  <c r="BU23" i="88"/>
  <c r="BU37" i="88"/>
  <c r="Y44" i="88"/>
  <c r="Y64" i="88" s="1"/>
  <c r="Y43" i="88"/>
  <c r="Y61" i="88" s="1"/>
  <c r="Y42" i="88"/>
  <c r="Y60" i="88" s="1"/>
  <c r="Y45" i="88"/>
  <c r="Y63" i="88" s="1"/>
  <c r="Y40" i="88"/>
  <c r="Y38" i="88"/>
  <c r="Y36" i="88"/>
  <c r="Y34" i="88"/>
  <c r="Y33" i="88"/>
  <c r="Y28" i="88" s="1"/>
  <c r="Y35" i="88"/>
  <c r="Y27" i="88"/>
  <c r="Y37" i="88"/>
  <c r="Y39" i="88"/>
  <c r="Y23" i="88"/>
  <c r="CK54" i="88"/>
  <c r="BE54" i="88"/>
  <c r="I54" i="88"/>
  <c r="CB45" i="88"/>
  <c r="CB63" i="88" s="1"/>
  <c r="CB40" i="88"/>
  <c r="CB44" i="88"/>
  <c r="CB64" i="88" s="1"/>
  <c r="CB43" i="88"/>
  <c r="CB61" i="88" s="1"/>
  <c r="CB39" i="88"/>
  <c r="CB37" i="88"/>
  <c r="CB35" i="88"/>
  <c r="CB27" i="88"/>
  <c r="CB42" i="88"/>
  <c r="CB60" i="88" s="1"/>
  <c r="CB38" i="88"/>
  <c r="CB36" i="88"/>
  <c r="CB34" i="88"/>
  <c r="CB23" i="88"/>
  <c r="CB33" i="88"/>
  <c r="CB28" i="88" s="1"/>
  <c r="AF45" i="88"/>
  <c r="AF63" i="88" s="1"/>
  <c r="AF40" i="88"/>
  <c r="AF44" i="88"/>
  <c r="AF64" i="88" s="1"/>
  <c r="AF43" i="88"/>
  <c r="AF61" i="88" s="1"/>
  <c r="AF39" i="88"/>
  <c r="AF37" i="88"/>
  <c r="AF35" i="88"/>
  <c r="AF27" i="88"/>
  <c r="AF42" i="88"/>
  <c r="AF60" i="88" s="1"/>
  <c r="AF38" i="88"/>
  <c r="AF36" i="88"/>
  <c r="AF34" i="88"/>
  <c r="AF33" i="88"/>
  <c r="AF28" i="88" s="1"/>
  <c r="AF23" i="88"/>
  <c r="AU42" i="88"/>
  <c r="AU60" i="88" s="1"/>
  <c r="AU45" i="88"/>
  <c r="AU63" i="88" s="1"/>
  <c r="AU44" i="88"/>
  <c r="AU64" i="88" s="1"/>
  <c r="AU33" i="88"/>
  <c r="AU28" i="88" s="1"/>
  <c r="AU43" i="88"/>
  <c r="AU61" i="88" s="1"/>
  <c r="AU40" i="88"/>
  <c r="AU39" i="88"/>
  <c r="AU37" i="88"/>
  <c r="AU35" i="88"/>
  <c r="AU27" i="88"/>
  <c r="AU36" i="88"/>
  <c r="AU23" i="88"/>
  <c r="AU38" i="88"/>
  <c r="AU34" i="88"/>
  <c r="AP55" i="88"/>
  <c r="CD50" i="88"/>
  <c r="CD52" i="88" s="1"/>
  <c r="BR50" i="88"/>
  <c r="BR52" i="88" s="1"/>
  <c r="BF50" i="88"/>
  <c r="BF52" i="88" s="1"/>
  <c r="AL50" i="88"/>
  <c r="AL52" i="88" s="1"/>
  <c r="AH50" i="88"/>
  <c r="AH52" i="88" s="1"/>
  <c r="Z50" i="88"/>
  <c r="Z52" i="88" s="1"/>
  <c r="I66" i="88"/>
  <c r="Z41" i="88"/>
  <c r="Z62" i="88" s="1"/>
  <c r="Z65" i="88" s="1"/>
  <c r="Z67" i="88" s="1"/>
  <c r="CB66" i="88"/>
  <c r="BL66" i="88"/>
  <c r="AV66" i="88"/>
  <c r="AF66" i="88"/>
  <c r="P66" i="88"/>
  <c r="CG44" i="88"/>
  <c r="CG64" i="88" s="1"/>
  <c r="CG43" i="88"/>
  <c r="CG61" i="88" s="1"/>
  <c r="CG42" i="88"/>
  <c r="CG60" i="88" s="1"/>
  <c r="CG45" i="88"/>
  <c r="CG63" i="88" s="1"/>
  <c r="CG38" i="88"/>
  <c r="CG36" i="88"/>
  <c r="CG34" i="88"/>
  <c r="CG40" i="88"/>
  <c r="CG33" i="88"/>
  <c r="CG28" i="88" s="1"/>
  <c r="CG37" i="88"/>
  <c r="CG35" i="88"/>
  <c r="CG39" i="88"/>
  <c r="CG27" i="88"/>
  <c r="CG23" i="88"/>
  <c r="BQ44" i="88"/>
  <c r="BQ64" i="88" s="1"/>
  <c r="BQ43" i="88"/>
  <c r="BQ61" i="88" s="1"/>
  <c r="BQ42" i="88"/>
  <c r="BQ60" i="88" s="1"/>
  <c r="BQ45" i="88"/>
  <c r="BQ63" i="88" s="1"/>
  <c r="BQ38" i="88"/>
  <c r="BQ36" i="88"/>
  <c r="BQ34" i="88"/>
  <c r="BQ40" i="88"/>
  <c r="BQ33" i="88"/>
  <c r="BQ28" i="88" s="1"/>
  <c r="BQ37" i="88"/>
  <c r="BQ39" i="88"/>
  <c r="BQ35" i="88"/>
  <c r="BQ27" i="88"/>
  <c r="BQ23" i="88"/>
  <c r="BA44" i="88"/>
  <c r="BA64" i="88" s="1"/>
  <c r="BA43" i="88"/>
  <c r="BA61" i="88" s="1"/>
  <c r="BA42" i="88"/>
  <c r="BA60" i="88" s="1"/>
  <c r="BA45" i="88"/>
  <c r="BA63" i="88" s="1"/>
  <c r="BA38" i="88"/>
  <c r="BA36" i="88"/>
  <c r="BA34" i="88"/>
  <c r="BA40" i="88"/>
  <c r="BA33" i="88"/>
  <c r="BA28" i="88" s="1"/>
  <c r="BA37" i="88"/>
  <c r="BA35" i="88"/>
  <c r="BA27" i="88"/>
  <c r="BA23" i="88"/>
  <c r="BA39" i="88"/>
  <c r="AK44" i="88"/>
  <c r="AK64" i="88" s="1"/>
  <c r="AK43" i="88"/>
  <c r="AK61" i="88" s="1"/>
  <c r="AK42" i="88"/>
  <c r="AK60" i="88" s="1"/>
  <c r="AK45" i="88"/>
  <c r="AK63" i="88" s="1"/>
  <c r="AK38" i="88"/>
  <c r="AK36" i="88"/>
  <c r="AK34" i="88"/>
  <c r="AK40" i="88"/>
  <c r="AK33" i="88"/>
  <c r="AK28" i="88" s="1"/>
  <c r="AK37" i="88"/>
  <c r="AK35" i="88"/>
  <c r="AK39" i="88"/>
  <c r="AK27" i="88"/>
  <c r="AK23" i="88"/>
  <c r="U44" i="88"/>
  <c r="U64" i="88" s="1"/>
  <c r="U43" i="88"/>
  <c r="U61" i="88" s="1"/>
  <c r="U42" i="88"/>
  <c r="U60" i="88" s="1"/>
  <c r="U45" i="88"/>
  <c r="U63" i="88" s="1"/>
  <c r="U38" i="88"/>
  <c r="U36" i="88"/>
  <c r="U34" i="88"/>
  <c r="U40" i="88"/>
  <c r="U33" i="88"/>
  <c r="U37" i="88"/>
  <c r="U39" i="88"/>
  <c r="U35" i="88"/>
  <c r="U27" i="88"/>
  <c r="U23" i="88"/>
  <c r="AO50" i="88"/>
  <c r="AO52" i="88" s="1"/>
  <c r="AC51" i="88"/>
  <c r="AC53" i="88" s="1"/>
  <c r="AS51" i="88"/>
  <c r="AS53" i="88" s="1"/>
  <c r="BI51" i="88"/>
  <c r="BI53" i="88" s="1"/>
  <c r="BY51" i="88"/>
  <c r="BY53" i="88" s="1"/>
  <c r="Z51" i="88"/>
  <c r="Z53" i="88" s="1"/>
  <c r="BF51" i="88"/>
  <c r="BF53" i="88" s="1"/>
  <c r="CG54" i="88"/>
  <c r="BQ54" i="88"/>
  <c r="BA54" i="88"/>
  <c r="AK54" i="88"/>
  <c r="U54" i="88"/>
  <c r="BX45" i="88"/>
  <c r="BX63" i="88" s="1"/>
  <c r="BX40" i="88"/>
  <c r="BX44" i="88"/>
  <c r="BX64" i="88" s="1"/>
  <c r="BX43" i="88"/>
  <c r="BX61" i="88" s="1"/>
  <c r="BX39" i="88"/>
  <c r="BX37" i="88"/>
  <c r="BX35" i="88"/>
  <c r="BX27" i="88"/>
  <c r="BX38" i="88"/>
  <c r="BX36" i="88"/>
  <c r="BX34" i="88"/>
  <c r="BX42" i="88"/>
  <c r="BX60" i="88" s="1"/>
  <c r="BX23" i="88"/>
  <c r="BX33" i="88"/>
  <c r="BX28" i="88" s="1"/>
  <c r="BH45" i="88"/>
  <c r="BH63" i="88" s="1"/>
  <c r="BH40" i="88"/>
  <c r="BH44" i="88"/>
  <c r="BH64" i="88" s="1"/>
  <c r="BH43" i="88"/>
  <c r="BH61" i="88" s="1"/>
  <c r="BH39" i="88"/>
  <c r="BH37" i="88"/>
  <c r="BH35" i="88"/>
  <c r="BH27" i="88"/>
  <c r="BH38" i="88"/>
  <c r="BH36" i="88"/>
  <c r="BH34" i="88"/>
  <c r="BH42" i="88"/>
  <c r="BH60" i="88" s="1"/>
  <c r="BH33" i="88"/>
  <c r="BH28" i="88" s="1"/>
  <c r="BH23" i="88"/>
  <c r="AR45" i="88"/>
  <c r="AR63" i="88" s="1"/>
  <c r="AR40" i="88"/>
  <c r="AR44" i="88"/>
  <c r="AR64" i="88" s="1"/>
  <c r="AR43" i="88"/>
  <c r="AR61" i="88" s="1"/>
  <c r="AR39" i="88"/>
  <c r="AR37" i="88"/>
  <c r="AR35" i="88"/>
  <c r="AR27" i="88"/>
  <c r="AR38" i="88"/>
  <c r="AR36" i="88"/>
  <c r="AR34" i="88"/>
  <c r="AR33" i="88"/>
  <c r="AR23" i="88"/>
  <c r="AR42" i="88"/>
  <c r="AR60" i="88" s="1"/>
  <c r="AB45" i="88"/>
  <c r="AB63" i="88" s="1"/>
  <c r="AB40" i="88"/>
  <c r="AB44" i="88"/>
  <c r="AB64" i="88" s="1"/>
  <c r="AB43" i="88"/>
  <c r="AB61" i="88" s="1"/>
  <c r="AB39" i="88"/>
  <c r="AB37" i="88"/>
  <c r="AB35" i="88"/>
  <c r="AB27" i="88"/>
  <c r="AB38" i="88"/>
  <c r="AB36" i="88"/>
  <c r="AB34" i="88"/>
  <c r="AB23" i="88"/>
  <c r="AB42" i="88"/>
  <c r="AB60" i="88" s="1"/>
  <c r="AB33" i="88"/>
  <c r="L45" i="88"/>
  <c r="L63" i="88" s="1"/>
  <c r="L40" i="88"/>
  <c r="L44" i="88"/>
  <c r="L64" i="88" s="1"/>
  <c r="L43" i="88"/>
  <c r="L61" i="88" s="1"/>
  <c r="L39" i="88"/>
  <c r="L37" i="88"/>
  <c r="L35" i="88"/>
  <c r="L38" i="88"/>
  <c r="L36" i="88"/>
  <c r="L34" i="88"/>
  <c r="L42" i="88"/>
  <c r="L60" i="88" s="1"/>
  <c r="BH50" i="88"/>
  <c r="BH52" i="88" s="1"/>
  <c r="AZ50" i="88"/>
  <c r="AZ52" i="88" s="1"/>
  <c r="AR28" i="88"/>
  <c r="AF50" i="88"/>
  <c r="AF52" i="88" s="1"/>
  <c r="CJ54" i="88"/>
  <c r="BT54" i="88"/>
  <c r="BD54" i="88"/>
  <c r="AN54" i="88"/>
  <c r="X54" i="88"/>
  <c r="H54" i="88"/>
  <c r="BW42" i="88"/>
  <c r="BW60" i="88" s="1"/>
  <c r="BW45" i="88"/>
  <c r="BW63" i="88" s="1"/>
  <c r="BW44" i="88"/>
  <c r="BW64" i="88" s="1"/>
  <c r="BW33" i="88"/>
  <c r="BW28" i="88" s="1"/>
  <c r="BW39" i="88"/>
  <c r="BW37" i="88"/>
  <c r="BW35" i="88"/>
  <c r="BW27" i="88"/>
  <c r="BW43" i="88"/>
  <c r="BW61" i="88" s="1"/>
  <c r="BW40" i="88"/>
  <c r="BW38" i="88"/>
  <c r="BW23" i="88"/>
  <c r="BW36" i="88"/>
  <c r="BW34" i="88"/>
  <c r="BG42" i="88"/>
  <c r="BG60" i="88" s="1"/>
  <c r="BG45" i="88"/>
  <c r="BG63" i="88" s="1"/>
  <c r="BG44" i="88"/>
  <c r="BG64" i="88" s="1"/>
  <c r="BG33" i="88"/>
  <c r="BG28" i="88" s="1"/>
  <c r="BG39" i="88"/>
  <c r="BG37" i="88"/>
  <c r="BG35" i="88"/>
  <c r="BG27" i="88"/>
  <c r="BG43" i="88"/>
  <c r="BG61" i="88" s="1"/>
  <c r="BG38" i="88"/>
  <c r="BG23" i="88"/>
  <c r="BG36" i="88"/>
  <c r="BG40" i="88"/>
  <c r="BG34" i="88"/>
  <c r="AQ42" i="88"/>
  <c r="AQ60" i="88" s="1"/>
  <c r="AQ45" i="88"/>
  <c r="AQ63" i="88" s="1"/>
  <c r="AQ44" i="88"/>
  <c r="AQ64" i="88" s="1"/>
  <c r="AQ33" i="88"/>
  <c r="AQ28" i="88" s="1"/>
  <c r="AQ39" i="88"/>
  <c r="AQ37" i="88"/>
  <c r="AQ35" i="88"/>
  <c r="AQ27" i="88"/>
  <c r="AQ43" i="88"/>
  <c r="AQ61" i="88" s="1"/>
  <c r="AQ40" i="88"/>
  <c r="AQ38" i="88"/>
  <c r="AQ23" i="88"/>
  <c r="AQ36" i="88"/>
  <c r="AQ34" i="88"/>
  <c r="AA42" i="88"/>
  <c r="AA60" i="88" s="1"/>
  <c r="AA45" i="88"/>
  <c r="AA63" i="88" s="1"/>
  <c r="AA44" i="88"/>
  <c r="AA64" i="88" s="1"/>
  <c r="AA33" i="88"/>
  <c r="AA28" i="88" s="1"/>
  <c r="AA39" i="88"/>
  <c r="AA37" i="88"/>
  <c r="AA35" i="88"/>
  <c r="AA27" i="88"/>
  <c r="AA43" i="88"/>
  <c r="AA61" i="88" s="1"/>
  <c r="AA38" i="88"/>
  <c r="AA23" i="88"/>
  <c r="AA36" i="88"/>
  <c r="AA40" i="88"/>
  <c r="AA34" i="88"/>
  <c r="K42" i="88"/>
  <c r="K60" i="88" s="1"/>
  <c r="K45" i="88"/>
  <c r="K63" i="88" s="1"/>
  <c r="K44" i="88"/>
  <c r="K64" i="88" s="1"/>
  <c r="K39" i="88"/>
  <c r="K37" i="88"/>
  <c r="K35" i="88"/>
  <c r="K43" i="88"/>
  <c r="K61" i="88" s="1"/>
  <c r="K40" i="88"/>
  <c r="K38" i="88"/>
  <c r="K36" i="88"/>
  <c r="K34" i="88"/>
  <c r="CE50" i="88"/>
  <c r="CE52" i="88" s="1"/>
  <c r="BW50" i="88"/>
  <c r="BW52" i="88" s="1"/>
  <c r="BO50" i="88"/>
  <c r="BO52" i="88" s="1"/>
  <c r="BG50" i="88"/>
  <c r="BG52" i="88" s="1"/>
  <c r="AY50" i="88"/>
  <c r="AY52" i="88" s="1"/>
  <c r="AQ50" i="88"/>
  <c r="AQ52" i="88" s="1"/>
  <c r="AI50" i="88"/>
  <c r="AI52" i="88" s="1"/>
  <c r="AA50" i="88"/>
  <c r="AA52" i="88" s="1"/>
  <c r="BC54" i="88"/>
  <c r="CC66" i="88"/>
  <c r="Q66" i="88"/>
  <c r="AL43" i="88"/>
  <c r="AL61" i="88" s="1"/>
  <c r="AL42" i="88"/>
  <c r="AL60" i="88" s="1"/>
  <c r="AL45" i="88"/>
  <c r="AL63" i="88" s="1"/>
  <c r="AL40" i="88"/>
  <c r="AL38" i="88"/>
  <c r="AL36" i="88"/>
  <c r="AL34" i="88"/>
  <c r="AL33" i="88"/>
  <c r="AL28" i="88" s="1"/>
  <c r="AL44" i="88"/>
  <c r="AL64" i="88" s="1"/>
  <c r="AL39" i="88"/>
  <c r="AL37" i="88"/>
  <c r="AL35" i="88"/>
  <c r="AL27" i="88"/>
  <c r="AL23" i="88"/>
  <c r="AS66" i="88"/>
  <c r="BN43" i="88"/>
  <c r="BN61" i="88" s="1"/>
  <c r="BN42" i="88"/>
  <c r="BN60" i="88" s="1"/>
  <c r="BN45" i="88"/>
  <c r="BN63" i="88" s="1"/>
  <c r="BN40" i="88"/>
  <c r="BN38" i="88"/>
  <c r="BN36" i="88"/>
  <c r="BN34" i="88"/>
  <c r="BN33" i="88"/>
  <c r="BN28" i="88" s="1"/>
  <c r="BN39" i="88"/>
  <c r="BN37" i="88"/>
  <c r="BN35" i="88"/>
  <c r="BN27" i="88"/>
  <c r="BN23" i="88"/>
  <c r="BN44" i="88"/>
  <c r="BN64" i="88" s="1"/>
  <c r="CH66" i="88"/>
  <c r="CD66" i="88"/>
  <c r="BR66" i="88"/>
  <c r="BN66" i="88"/>
  <c r="BB66" i="88"/>
  <c r="AX66" i="88"/>
  <c r="AL66" i="88"/>
  <c r="AH66" i="88"/>
  <c r="V66" i="88"/>
  <c r="R66" i="88"/>
  <c r="J50" i="88"/>
  <c r="J52" i="88" s="1"/>
  <c r="BV55" i="88"/>
  <c r="AE54" i="88"/>
  <c r="BE66" i="88"/>
  <c r="CL55" i="88"/>
  <c r="Z55" i="88"/>
  <c r="CM25" i="88"/>
  <c r="BZ55" i="88"/>
  <c r="BJ41" i="88"/>
  <c r="BJ62" i="88" s="1"/>
  <c r="BJ65" i="88" s="1"/>
  <c r="BJ67" i="88" s="1"/>
  <c r="AT55" i="88"/>
  <c r="AD41" i="88"/>
  <c r="AD62" i="88" s="1"/>
  <c r="BE44" i="88"/>
  <c r="BE64" i="88" s="1"/>
  <c r="BE43" i="88"/>
  <c r="BE61" i="88" s="1"/>
  <c r="BE42" i="88"/>
  <c r="BE60" i="88" s="1"/>
  <c r="BE45" i="88"/>
  <c r="BE63" i="88" s="1"/>
  <c r="BE40" i="88"/>
  <c r="BE38" i="88"/>
  <c r="BE36" i="88"/>
  <c r="BE34" i="88"/>
  <c r="BE33" i="88"/>
  <c r="BE28" i="88" s="1"/>
  <c r="BE35" i="88"/>
  <c r="BE37" i="88"/>
  <c r="BE27" i="88"/>
  <c r="BE39" i="88"/>
  <c r="BE23" i="88"/>
  <c r="I44" i="88"/>
  <c r="I64" i="88" s="1"/>
  <c r="I43" i="88"/>
  <c r="I61" i="88" s="1"/>
  <c r="I42" i="88"/>
  <c r="I60" i="88" s="1"/>
  <c r="I45" i="88"/>
  <c r="I63" i="88" s="1"/>
  <c r="I40" i="88"/>
  <c r="I38" i="88"/>
  <c r="I36" i="88"/>
  <c r="I34" i="88"/>
  <c r="I35" i="88"/>
  <c r="I23" i="88"/>
  <c r="I55" i="88" s="1"/>
  <c r="I37" i="88"/>
  <c r="I39" i="88"/>
  <c r="BU54" i="88"/>
  <c r="Y54" i="88"/>
  <c r="AV45" i="88"/>
  <c r="AV63" i="88" s="1"/>
  <c r="AV40" i="88"/>
  <c r="AV44" i="88"/>
  <c r="AV64" i="88" s="1"/>
  <c r="AV43" i="88"/>
  <c r="AV61" i="88" s="1"/>
  <c r="AV39" i="88"/>
  <c r="AV37" i="88"/>
  <c r="AV35" i="88"/>
  <c r="AV27" i="88"/>
  <c r="AV42" i="88"/>
  <c r="AV60" i="88" s="1"/>
  <c r="AV38" i="88"/>
  <c r="AV36" i="88"/>
  <c r="AV34" i="88"/>
  <c r="AV23" i="88"/>
  <c r="AV33" i="88"/>
  <c r="AV28" i="88" s="1"/>
  <c r="CA42" i="88"/>
  <c r="CA60" i="88" s="1"/>
  <c r="CA45" i="88"/>
  <c r="CA63" i="88" s="1"/>
  <c r="CA44" i="88"/>
  <c r="CA64" i="88" s="1"/>
  <c r="CA33" i="88"/>
  <c r="CA43" i="88"/>
  <c r="CA61" i="88" s="1"/>
  <c r="CA40" i="88"/>
  <c r="CA39" i="88"/>
  <c r="CA37" i="88"/>
  <c r="CA35" i="88"/>
  <c r="CA27" i="88"/>
  <c r="CA36" i="88"/>
  <c r="CA23" i="88"/>
  <c r="CA34" i="88"/>
  <c r="CA38" i="88"/>
  <c r="O42" i="88"/>
  <c r="O60" i="88" s="1"/>
  <c r="O45" i="88"/>
  <c r="O63" i="88" s="1"/>
  <c r="O44" i="88"/>
  <c r="O64" i="88" s="1"/>
  <c r="O43" i="88"/>
  <c r="O61" i="88" s="1"/>
  <c r="O40" i="88"/>
  <c r="O39" i="88"/>
  <c r="O37" i="88"/>
  <c r="O35" i="88"/>
  <c r="O36" i="88"/>
  <c r="O38" i="88"/>
  <c r="O34" i="88"/>
  <c r="BB43" i="88"/>
  <c r="BB61" i="88" s="1"/>
  <c r="BB42" i="88"/>
  <c r="BB60" i="88" s="1"/>
  <c r="BB45" i="88"/>
  <c r="BB63" i="88" s="1"/>
  <c r="BB40" i="88"/>
  <c r="BB38" i="88"/>
  <c r="BB36" i="88"/>
  <c r="BB34" i="88"/>
  <c r="BB33" i="88"/>
  <c r="BB28" i="88" s="1"/>
  <c r="BB44" i="88"/>
  <c r="BB64" i="88" s="1"/>
  <c r="BB39" i="88"/>
  <c r="BB37" i="88"/>
  <c r="BB35" i="88"/>
  <c r="BB27" i="88"/>
  <c r="BB23" i="88"/>
  <c r="CD43" i="88"/>
  <c r="CD61" i="88" s="1"/>
  <c r="CD42" i="88"/>
  <c r="CD60" i="88" s="1"/>
  <c r="CD45" i="88"/>
  <c r="CD63" i="88" s="1"/>
  <c r="CD40" i="88"/>
  <c r="CD38" i="88"/>
  <c r="CD36" i="88"/>
  <c r="CD34" i="88"/>
  <c r="CD33" i="88"/>
  <c r="CD28" i="88" s="1"/>
  <c r="CD39" i="88"/>
  <c r="CD37" i="88"/>
  <c r="CD35" i="88"/>
  <c r="CD27" i="88"/>
  <c r="CD44" i="88"/>
  <c r="CD64" i="88" s="1"/>
  <c r="CD23" i="88"/>
  <c r="CH50" i="88"/>
  <c r="CH52" i="88" s="1"/>
  <c r="BV50" i="88"/>
  <c r="BV52" i="88" s="1"/>
  <c r="BJ50" i="88"/>
  <c r="BJ52" i="88" s="1"/>
  <c r="AX50" i="88"/>
  <c r="AX52" i="88" s="1"/>
  <c r="AT50" i="88"/>
  <c r="AT52" i="88" s="1"/>
  <c r="AD50" i="88"/>
  <c r="AD52" i="88" s="1"/>
  <c r="AU54" i="88"/>
  <c r="CC44" i="88"/>
  <c r="CC64" i="88" s="1"/>
  <c r="CC43" i="88"/>
  <c r="CC61" i="88" s="1"/>
  <c r="CC42" i="88"/>
  <c r="CC60" i="88" s="1"/>
  <c r="CC40" i="88"/>
  <c r="CC38" i="88"/>
  <c r="CC36" i="88"/>
  <c r="CC34" i="88"/>
  <c r="CC45" i="88"/>
  <c r="CC63" i="88" s="1"/>
  <c r="CC33" i="88"/>
  <c r="CC28" i="88" s="1"/>
  <c r="CC39" i="88"/>
  <c r="CC37" i="88"/>
  <c r="CC27" i="88"/>
  <c r="CC35" i="88"/>
  <c r="CC23" i="88"/>
  <c r="BM44" i="88"/>
  <c r="BM64" i="88" s="1"/>
  <c r="BM43" i="88"/>
  <c r="BM61" i="88" s="1"/>
  <c r="BM42" i="88"/>
  <c r="BM60" i="88" s="1"/>
  <c r="BM40" i="88"/>
  <c r="BM38" i="88"/>
  <c r="BM36" i="88"/>
  <c r="BM34" i="88"/>
  <c r="BM45" i="88"/>
  <c r="BM63" i="88" s="1"/>
  <c r="BM33" i="88"/>
  <c r="BM28" i="88" s="1"/>
  <c r="BM39" i="88"/>
  <c r="BM27" i="88"/>
  <c r="BM37" i="88"/>
  <c r="BM35" i="88"/>
  <c r="BM23" i="88"/>
  <c r="AW44" i="88"/>
  <c r="AW64" i="88" s="1"/>
  <c r="AW43" i="88"/>
  <c r="AW61" i="88" s="1"/>
  <c r="AW42" i="88"/>
  <c r="AW60" i="88" s="1"/>
  <c r="AW40" i="88"/>
  <c r="AW38" i="88"/>
  <c r="AW36" i="88"/>
  <c r="AW34" i="88"/>
  <c r="AW45" i="88"/>
  <c r="AW63" i="88" s="1"/>
  <c r="AW33" i="88"/>
  <c r="AW28" i="88" s="1"/>
  <c r="AW39" i="88"/>
  <c r="AW37" i="88"/>
  <c r="AW35" i="88"/>
  <c r="AW23" i="88"/>
  <c r="AW27" i="88"/>
  <c r="AG44" i="88"/>
  <c r="AG64" i="88" s="1"/>
  <c r="AG43" i="88"/>
  <c r="AG61" i="88" s="1"/>
  <c r="AG42" i="88"/>
  <c r="AG60" i="88" s="1"/>
  <c r="AG40" i="88"/>
  <c r="AG38" i="88"/>
  <c r="AG36" i="88"/>
  <c r="AG34" i="88"/>
  <c r="AG45" i="88"/>
  <c r="AG63" i="88" s="1"/>
  <c r="AG33" i="88"/>
  <c r="AG28" i="88" s="1"/>
  <c r="AG39" i="88"/>
  <c r="AG37" i="88"/>
  <c r="AG27" i="88"/>
  <c r="AG35" i="88"/>
  <c r="AG23" i="88"/>
  <c r="Q44" i="88"/>
  <c r="Q64" i="88" s="1"/>
  <c r="Q43" i="88"/>
  <c r="Q61" i="88" s="1"/>
  <c r="Q42" i="88"/>
  <c r="Q60" i="88" s="1"/>
  <c r="Q40" i="88"/>
  <c r="Q38" i="88"/>
  <c r="Q36" i="88"/>
  <c r="Q34" i="88"/>
  <c r="Q45" i="88"/>
  <c r="Q63" i="88" s="1"/>
  <c r="Q39" i="88"/>
  <c r="Q37" i="88"/>
  <c r="Q35" i="88"/>
  <c r="T51" i="88"/>
  <c r="T53" i="88" s="1"/>
  <c r="AD51" i="88"/>
  <c r="AD53" i="88" s="1"/>
  <c r="AT51" i="88"/>
  <c r="AT53" i="88" s="1"/>
  <c r="BJ51" i="88"/>
  <c r="BJ53" i="88" s="1"/>
  <c r="AN50" i="88"/>
  <c r="AN52" i="88" s="1"/>
  <c r="CC54" i="88"/>
  <c r="BM54" i="88"/>
  <c r="AW54" i="88"/>
  <c r="AG54" i="88"/>
  <c r="Q54" i="88"/>
  <c r="CJ45" i="88"/>
  <c r="CJ63" i="88" s="1"/>
  <c r="CJ40" i="88"/>
  <c r="CJ44" i="88"/>
  <c r="CJ64" i="88" s="1"/>
  <c r="CJ43" i="88"/>
  <c r="CJ61" i="88" s="1"/>
  <c r="CJ39" i="88"/>
  <c r="CJ42" i="88"/>
  <c r="CJ60" i="88" s="1"/>
  <c r="CJ37" i="88"/>
  <c r="CJ35" i="88"/>
  <c r="CJ27" i="88"/>
  <c r="CJ38" i="88"/>
  <c r="CJ36" i="88"/>
  <c r="CJ34" i="88"/>
  <c r="CJ33" i="88"/>
  <c r="CJ28" i="88" s="1"/>
  <c r="CJ23" i="88"/>
  <c r="BT45" i="88"/>
  <c r="BT63" i="88" s="1"/>
  <c r="BT40" i="88"/>
  <c r="BT44" i="88"/>
  <c r="BT64" i="88" s="1"/>
  <c r="BT43" i="88"/>
  <c r="BT61" i="88" s="1"/>
  <c r="BT42" i="88"/>
  <c r="BT60" i="88" s="1"/>
  <c r="BT39" i="88"/>
  <c r="BT37" i="88"/>
  <c r="BT35" i="88"/>
  <c r="BT27" i="88"/>
  <c r="BT38" i="88"/>
  <c r="BT36" i="88"/>
  <c r="BT34" i="88"/>
  <c r="BT33" i="88"/>
  <c r="BT28" i="88" s="1"/>
  <c r="BT23" i="88"/>
  <c r="BD45" i="88"/>
  <c r="BD63" i="88" s="1"/>
  <c r="BD40" i="88"/>
  <c r="BD44" i="88"/>
  <c r="BD64" i="88" s="1"/>
  <c r="BD43" i="88"/>
  <c r="BD61" i="88" s="1"/>
  <c r="BD42" i="88"/>
  <c r="BD60" i="88" s="1"/>
  <c r="BD39" i="88"/>
  <c r="BD37" i="88"/>
  <c r="BD35" i="88"/>
  <c r="BD27" i="88"/>
  <c r="BD38" i="88"/>
  <c r="BD36" i="88"/>
  <c r="BD34" i="88"/>
  <c r="BD33" i="88"/>
  <c r="BD28" i="88" s="1"/>
  <c r="BD23" i="88"/>
  <c r="AN45" i="88"/>
  <c r="AN63" i="88" s="1"/>
  <c r="AN40" i="88"/>
  <c r="AN44" i="88"/>
  <c r="AN64" i="88" s="1"/>
  <c r="AN43" i="88"/>
  <c r="AN61" i="88" s="1"/>
  <c r="AN42" i="88"/>
  <c r="AN60" i="88" s="1"/>
  <c r="AN39" i="88"/>
  <c r="AN37" i="88"/>
  <c r="AN35" i="88"/>
  <c r="AN27" i="88"/>
  <c r="AN38" i="88"/>
  <c r="AN36" i="88"/>
  <c r="AN34" i="88"/>
  <c r="AN33" i="88"/>
  <c r="AN28" i="88" s="1"/>
  <c r="AN23" i="88"/>
  <c r="X45" i="88"/>
  <c r="X63" i="88" s="1"/>
  <c r="X40" i="88"/>
  <c r="X44" i="88"/>
  <c r="X64" i="88" s="1"/>
  <c r="X43" i="88"/>
  <c r="X61" i="88" s="1"/>
  <c r="X42" i="88"/>
  <c r="X60" i="88" s="1"/>
  <c r="X39" i="88"/>
  <c r="X37" i="88"/>
  <c r="X35" i="88"/>
  <c r="X27" i="88"/>
  <c r="X38" i="88"/>
  <c r="X36" i="88"/>
  <c r="X34" i="88"/>
  <c r="X33" i="88"/>
  <c r="X28" i="88" s="1"/>
  <c r="X23" i="88"/>
  <c r="H45" i="88"/>
  <c r="H63" i="88" s="1"/>
  <c r="H40" i="88"/>
  <c r="H44" i="88"/>
  <c r="H64" i="88" s="1"/>
  <c r="H43" i="88"/>
  <c r="H61" i="88" s="1"/>
  <c r="H42" i="88"/>
  <c r="H60" i="88" s="1"/>
  <c r="H39" i="88"/>
  <c r="H37" i="88"/>
  <c r="H35" i="88"/>
  <c r="H38" i="88"/>
  <c r="H36" i="88"/>
  <c r="H34" i="88"/>
  <c r="H23" i="88"/>
  <c r="H55" i="88" s="1"/>
  <c r="BX50" i="88"/>
  <c r="BX52" i="88" s="1"/>
  <c r="BP50" i="88"/>
  <c r="BP52" i="88" s="1"/>
  <c r="AV50" i="88"/>
  <c r="AV52" i="88" s="1"/>
  <c r="CM29" i="88"/>
  <c r="U28" i="88"/>
  <c r="CF54" i="88"/>
  <c r="BP54" i="88"/>
  <c r="AZ54" i="88"/>
  <c r="AJ54" i="88"/>
  <c r="T54" i="88"/>
  <c r="CI42" i="88"/>
  <c r="CI60" i="88" s="1"/>
  <c r="CI45" i="88"/>
  <c r="CI63" i="88" s="1"/>
  <c r="CI44" i="88"/>
  <c r="CI64" i="88" s="1"/>
  <c r="CI33" i="88"/>
  <c r="CI28" i="88" s="1"/>
  <c r="CI40" i="88"/>
  <c r="CI39" i="88"/>
  <c r="CI37" i="88"/>
  <c r="CI35" i="88"/>
  <c r="CI27" i="88"/>
  <c r="CI23" i="88"/>
  <c r="CI34" i="88"/>
  <c r="CI38" i="88"/>
  <c r="CI43" i="88"/>
  <c r="CI61" i="88" s="1"/>
  <c r="CI36" i="88"/>
  <c r="BS42" i="88"/>
  <c r="BS60" i="88" s="1"/>
  <c r="BS45" i="88"/>
  <c r="BS63" i="88" s="1"/>
  <c r="BS44" i="88"/>
  <c r="BS64" i="88" s="1"/>
  <c r="BS33" i="88"/>
  <c r="BS28" i="88" s="1"/>
  <c r="BS40" i="88"/>
  <c r="BS39" i="88"/>
  <c r="BS37" i="88"/>
  <c r="BS35" i="88"/>
  <c r="BS27" i="88"/>
  <c r="BS23" i="88"/>
  <c r="BS43" i="88"/>
  <c r="BS61" i="88" s="1"/>
  <c r="BS38" i="88"/>
  <c r="BS36" i="88"/>
  <c r="BS34" i="88"/>
  <c r="BC42" i="88"/>
  <c r="BC60" i="88" s="1"/>
  <c r="BC45" i="88"/>
  <c r="BC63" i="88" s="1"/>
  <c r="BC44" i="88"/>
  <c r="BC64" i="88" s="1"/>
  <c r="BC33" i="88"/>
  <c r="BC28" i="88" s="1"/>
  <c r="BC40" i="88"/>
  <c r="BC39" i="88"/>
  <c r="BC37" i="88"/>
  <c r="BC35" i="88"/>
  <c r="BC27" i="88"/>
  <c r="BC43" i="88"/>
  <c r="BC61" i="88" s="1"/>
  <c r="BC23" i="88"/>
  <c r="BC38" i="88"/>
  <c r="BC34" i="88"/>
  <c r="BC36" i="88"/>
  <c r="AM42" i="88"/>
  <c r="AM60" i="88" s="1"/>
  <c r="AM45" i="88"/>
  <c r="AM63" i="88" s="1"/>
  <c r="AM44" i="88"/>
  <c r="AM64" i="88" s="1"/>
  <c r="AM33" i="88"/>
  <c r="AM28" i="88" s="1"/>
  <c r="AM40" i="88"/>
  <c r="AM39" i="88"/>
  <c r="AM37" i="88"/>
  <c r="AM35" i="88"/>
  <c r="AM27" i="88"/>
  <c r="AM23" i="88"/>
  <c r="AM34" i="88"/>
  <c r="AM43" i="88"/>
  <c r="AM61" i="88" s="1"/>
  <c r="AM38" i="88"/>
  <c r="AM36" i="88"/>
  <c r="W42" i="88"/>
  <c r="W60" i="88" s="1"/>
  <c r="W45" i="88"/>
  <c r="W63" i="88" s="1"/>
  <c r="W44" i="88"/>
  <c r="W64" i="88" s="1"/>
  <c r="W33" i="88"/>
  <c r="W28" i="88" s="1"/>
  <c r="W40" i="88"/>
  <c r="W39" i="88"/>
  <c r="W37" i="88"/>
  <c r="W35" i="88"/>
  <c r="W27" i="88"/>
  <c r="W23" i="88"/>
  <c r="W38" i="88"/>
  <c r="W43" i="88"/>
  <c r="W61" i="88" s="1"/>
  <c r="W36" i="88"/>
  <c r="W34" i="88"/>
  <c r="CM26" i="88"/>
  <c r="CA28" i="88"/>
  <c r="AM54" i="88"/>
  <c r="BM66" i="88"/>
  <c r="CH43" i="88"/>
  <c r="CH61" i="88" s="1"/>
  <c r="CH42" i="88"/>
  <c r="CH60" i="88" s="1"/>
  <c r="CH45" i="88"/>
  <c r="CH63" i="88" s="1"/>
  <c r="CH40" i="88"/>
  <c r="CH38" i="88"/>
  <c r="CH36" i="88"/>
  <c r="CH34" i="88"/>
  <c r="CH33" i="88"/>
  <c r="CH44" i="88"/>
  <c r="CH64" i="88" s="1"/>
  <c r="CH39" i="88"/>
  <c r="CH37" i="88"/>
  <c r="CH35" i="88"/>
  <c r="CH27" i="88"/>
  <c r="CH23" i="88"/>
  <c r="V43" i="88"/>
  <c r="V61" i="88" s="1"/>
  <c r="V42" i="88"/>
  <c r="V60" i="88" s="1"/>
  <c r="V45" i="88"/>
  <c r="V63" i="88" s="1"/>
  <c r="V40" i="88"/>
  <c r="V38" i="88"/>
  <c r="V36" i="88"/>
  <c r="V34" i="88"/>
  <c r="V33" i="88"/>
  <c r="V28" i="88" s="1"/>
  <c r="V44" i="88"/>
  <c r="V64" i="88" s="1"/>
  <c r="V39" i="88"/>
  <c r="V37" i="88"/>
  <c r="V35" i="88"/>
  <c r="V27" i="88"/>
  <c r="V23" i="88"/>
  <c r="BA66" i="88"/>
  <c r="S54" i="88"/>
  <c r="AC66" i="88"/>
  <c r="AX43" i="88"/>
  <c r="AX61" i="88" s="1"/>
  <c r="AX42" i="88"/>
  <c r="AX60" i="88" s="1"/>
  <c r="AX45" i="88"/>
  <c r="AX63" i="88" s="1"/>
  <c r="AX40" i="88"/>
  <c r="AX38" i="88"/>
  <c r="AX36" i="88"/>
  <c r="AX34" i="88"/>
  <c r="AX33" i="88"/>
  <c r="AX39" i="88"/>
  <c r="AX37" i="88"/>
  <c r="AX35" i="88"/>
  <c r="AX27" i="88"/>
  <c r="AX23" i="88"/>
  <c r="AX44" i="88"/>
  <c r="AX64" i="88" s="1"/>
  <c r="N50" i="88"/>
  <c r="N52" i="88" s="1"/>
  <c r="J54" i="88"/>
  <c r="CA54" i="88"/>
  <c r="O54" i="88"/>
  <c r="AO66" i="88"/>
  <c r="BF41" i="88"/>
  <c r="BF62" i="88" s="1"/>
  <c r="BF65" i="88" s="1"/>
  <c r="BF67" i="88" s="1"/>
  <c r="CM31" i="88"/>
  <c r="CK44" i="88"/>
  <c r="CK64" i="88" s="1"/>
  <c r="CK43" i="88"/>
  <c r="CK61" i="88" s="1"/>
  <c r="CK42" i="88"/>
  <c r="CK60" i="88" s="1"/>
  <c r="CK45" i="88"/>
  <c r="CK63" i="88" s="1"/>
  <c r="CK40" i="88"/>
  <c r="CK39" i="88"/>
  <c r="CK38" i="88"/>
  <c r="CK36" i="88"/>
  <c r="CK34" i="88"/>
  <c r="CK33" i="88"/>
  <c r="CK28" i="88" s="1"/>
  <c r="CK35" i="88"/>
  <c r="CK27" i="88"/>
  <c r="CK37" i="88"/>
  <c r="CK23" i="88"/>
  <c r="AO44" i="88"/>
  <c r="AO64" i="88" s="1"/>
  <c r="AO43" i="88"/>
  <c r="AO61" i="88" s="1"/>
  <c r="AO42" i="88"/>
  <c r="AO60" i="88" s="1"/>
  <c r="AO45" i="88"/>
  <c r="AO63" i="88" s="1"/>
  <c r="AO40" i="88"/>
  <c r="AO38" i="88"/>
  <c r="AO36" i="88"/>
  <c r="AO34" i="88"/>
  <c r="AO33" i="88"/>
  <c r="AO28" i="88" s="1"/>
  <c r="AO35" i="88"/>
  <c r="AO27" i="88"/>
  <c r="AO39" i="88"/>
  <c r="AO23" i="88"/>
  <c r="AO37" i="88"/>
  <c r="AO54" i="88"/>
  <c r="BL45" i="88"/>
  <c r="BL63" i="88" s="1"/>
  <c r="BL40" i="88"/>
  <c r="BL44" i="88"/>
  <c r="BL64" i="88" s="1"/>
  <c r="BL43" i="88"/>
  <c r="BL61" i="88" s="1"/>
  <c r="BL39" i="88"/>
  <c r="BL37" i="88"/>
  <c r="BL35" i="88"/>
  <c r="BL27" i="88"/>
  <c r="BL42" i="88"/>
  <c r="BL60" i="88" s="1"/>
  <c r="BL38" i="88"/>
  <c r="BL36" i="88"/>
  <c r="BL34" i="88"/>
  <c r="BL23" i="88"/>
  <c r="BL33" i="88"/>
  <c r="BL28" i="88" s="1"/>
  <c r="P45" i="88"/>
  <c r="P63" i="88" s="1"/>
  <c r="P40" i="88"/>
  <c r="P44" i="88"/>
  <c r="P64" i="88" s="1"/>
  <c r="P43" i="88"/>
  <c r="P61" i="88" s="1"/>
  <c r="P39" i="88"/>
  <c r="P37" i="88"/>
  <c r="P35" i="88"/>
  <c r="P42" i="88"/>
  <c r="P60" i="88" s="1"/>
  <c r="P38" i="88"/>
  <c r="P36" i="88"/>
  <c r="P34" i="88"/>
  <c r="CB50" i="88"/>
  <c r="CB52" i="88" s="1"/>
  <c r="AR50" i="88"/>
  <c r="AR52" i="88" s="1"/>
  <c r="AJ50" i="88"/>
  <c r="AJ52" i="88" s="1"/>
  <c r="AB28" i="88"/>
  <c r="X50" i="88"/>
  <c r="X52" i="88" s="1"/>
  <c r="BK42" i="88"/>
  <c r="BK60" i="88" s="1"/>
  <c r="BK45" i="88"/>
  <c r="BK63" i="88" s="1"/>
  <c r="BK44" i="88"/>
  <c r="BK64" i="88" s="1"/>
  <c r="BK33" i="88"/>
  <c r="BK28" i="88" s="1"/>
  <c r="BK43" i="88"/>
  <c r="BK61" i="88" s="1"/>
  <c r="BK40" i="88"/>
  <c r="BK39" i="88"/>
  <c r="BK37" i="88"/>
  <c r="BK35" i="88"/>
  <c r="BK27" i="88"/>
  <c r="BK36" i="88"/>
  <c r="BK23" i="88"/>
  <c r="BK34" i="88"/>
  <c r="BK38" i="88"/>
  <c r="AE42" i="88"/>
  <c r="AE60" i="88" s="1"/>
  <c r="AE45" i="88"/>
  <c r="AE63" i="88" s="1"/>
  <c r="AE44" i="88"/>
  <c r="AE64" i="88" s="1"/>
  <c r="AE33" i="88"/>
  <c r="AE28" i="88" s="1"/>
  <c r="AE43" i="88"/>
  <c r="AE61" i="88" s="1"/>
  <c r="AE40" i="88"/>
  <c r="AE39" i="88"/>
  <c r="AE37" i="88"/>
  <c r="AE35" i="88"/>
  <c r="AE27" i="88"/>
  <c r="AE36" i="88"/>
  <c r="AE23" i="88"/>
  <c r="AE34" i="88"/>
  <c r="AE38" i="88"/>
  <c r="R43" i="88"/>
  <c r="R61" i="88" s="1"/>
  <c r="R42" i="88"/>
  <c r="R60" i="88" s="1"/>
  <c r="R45" i="88"/>
  <c r="R63" i="88" s="1"/>
  <c r="R40" i="88"/>
  <c r="R38" i="88"/>
  <c r="R36" i="88"/>
  <c r="R34" i="88"/>
  <c r="R39" i="88"/>
  <c r="R37" i="88"/>
  <c r="R35" i="88"/>
  <c r="R44" i="88"/>
  <c r="R64" i="88" s="1"/>
  <c r="CL50" i="88"/>
  <c r="CL52" i="88" s="1"/>
  <c r="BZ50" i="88"/>
  <c r="BZ52" i="88" s="1"/>
  <c r="BN50" i="88"/>
  <c r="BN52" i="88" s="1"/>
  <c r="BB50" i="88"/>
  <c r="BB52" i="88" s="1"/>
  <c r="AP50" i="88"/>
  <c r="AP52" i="88" s="1"/>
  <c r="V50" i="88"/>
  <c r="V52" i="88" s="1"/>
  <c r="BU66" i="88"/>
  <c r="BD50" i="88"/>
  <c r="BD52" i="88" s="1"/>
  <c r="BY44" i="88"/>
  <c r="BY64" i="88" s="1"/>
  <c r="BY43" i="88"/>
  <c r="BY61" i="88" s="1"/>
  <c r="BY42" i="88"/>
  <c r="BY60" i="88" s="1"/>
  <c r="BY38" i="88"/>
  <c r="BY36" i="88"/>
  <c r="BY34" i="88"/>
  <c r="BY40" i="88"/>
  <c r="BY33" i="88"/>
  <c r="BY28" i="88" s="1"/>
  <c r="BY45" i="88"/>
  <c r="BY63" i="88" s="1"/>
  <c r="BY27" i="88"/>
  <c r="BY35" i="88"/>
  <c r="BY39" i="88"/>
  <c r="BY37" i="88"/>
  <c r="BY23" i="88"/>
  <c r="BI44" i="88"/>
  <c r="BI64" i="88" s="1"/>
  <c r="BI43" i="88"/>
  <c r="BI61" i="88" s="1"/>
  <c r="BI42" i="88"/>
  <c r="BI60" i="88" s="1"/>
  <c r="BI38" i="88"/>
  <c r="BI36" i="88"/>
  <c r="BI34" i="88"/>
  <c r="BI40" i="88"/>
  <c r="BI33" i="88"/>
  <c r="BI28" i="88" s="1"/>
  <c r="BI27" i="88"/>
  <c r="BI45" i="88"/>
  <c r="BI63" i="88" s="1"/>
  <c r="BI39" i="88"/>
  <c r="BI35" i="88"/>
  <c r="BI37" i="88"/>
  <c r="BI23" i="88"/>
  <c r="AS44" i="88"/>
  <c r="AS64" i="88" s="1"/>
  <c r="AS43" i="88"/>
  <c r="AS61" i="88" s="1"/>
  <c r="AS42" i="88"/>
  <c r="AS60" i="88" s="1"/>
  <c r="AS38" i="88"/>
  <c r="AS36" i="88"/>
  <c r="AS34" i="88"/>
  <c r="AS40" i="88"/>
  <c r="AS33" i="88"/>
  <c r="AS28" i="88" s="1"/>
  <c r="AS27" i="88"/>
  <c r="AS39" i="88"/>
  <c r="AS45" i="88"/>
  <c r="AS63" i="88" s="1"/>
  <c r="AS37" i="88"/>
  <c r="AS23" i="88"/>
  <c r="AS35" i="88"/>
  <c r="AC44" i="88"/>
  <c r="AC64" i="88" s="1"/>
  <c r="AC43" i="88"/>
  <c r="AC61" i="88" s="1"/>
  <c r="AC42" i="88"/>
  <c r="AC60" i="88" s="1"/>
  <c r="AC38" i="88"/>
  <c r="AC36" i="88"/>
  <c r="AC34" i="88"/>
  <c r="AC40" i="88"/>
  <c r="AC33" i="88"/>
  <c r="AC28" i="88" s="1"/>
  <c r="AC27" i="88"/>
  <c r="AC35" i="88"/>
  <c r="AC39" i="88"/>
  <c r="AC37" i="88"/>
  <c r="AC23" i="88"/>
  <c r="AC45" i="88"/>
  <c r="AC63" i="88" s="1"/>
  <c r="M44" i="88"/>
  <c r="M64" i="88" s="1"/>
  <c r="M43" i="88"/>
  <c r="M61" i="88" s="1"/>
  <c r="M42" i="88"/>
  <c r="M60" i="88" s="1"/>
  <c r="M38" i="88"/>
  <c r="M36" i="88"/>
  <c r="M34" i="88"/>
  <c r="M40" i="88"/>
  <c r="M45" i="88"/>
  <c r="M63" i="88" s="1"/>
  <c r="M39" i="88"/>
  <c r="M35" i="88"/>
  <c r="M37" i="88"/>
  <c r="CM30" i="88"/>
  <c r="X51" i="88"/>
  <c r="X53" i="88" s="1"/>
  <c r="AN51" i="88"/>
  <c r="AN53" i="88" s="1"/>
  <c r="BD51" i="88"/>
  <c r="BD53" i="88" s="1"/>
  <c r="AH51" i="88"/>
  <c r="AH53" i="88" s="1"/>
  <c r="AX51" i="88"/>
  <c r="AX53" i="88" s="1"/>
  <c r="BN51" i="88"/>
  <c r="BN53" i="88" s="1"/>
  <c r="CD51" i="88"/>
  <c r="CD53" i="88" s="1"/>
  <c r="BY54" i="88"/>
  <c r="BI54" i="88"/>
  <c r="AS54" i="88"/>
  <c r="AC54" i="88"/>
  <c r="M54" i="88"/>
  <c r="CA66" i="88"/>
  <c r="BK66" i="88"/>
  <c r="AU66" i="88"/>
  <c r="AE66" i="88"/>
  <c r="O66" i="88"/>
  <c r="CF45" i="88"/>
  <c r="CF63" i="88" s="1"/>
  <c r="CF40" i="88"/>
  <c r="CF44" i="88"/>
  <c r="CF64" i="88" s="1"/>
  <c r="CF43" i="88"/>
  <c r="CF61" i="88" s="1"/>
  <c r="CF39" i="88"/>
  <c r="CF37" i="88"/>
  <c r="CF35" i="88"/>
  <c r="CF27" i="88"/>
  <c r="CF42" i="88"/>
  <c r="CF60" i="88" s="1"/>
  <c r="CF38" i="88"/>
  <c r="CF36" i="88"/>
  <c r="CF34" i="88"/>
  <c r="CF33" i="88"/>
  <c r="CF28" i="88" s="1"/>
  <c r="CF23" i="88"/>
  <c r="BP45" i="88"/>
  <c r="BP63" i="88" s="1"/>
  <c r="BP40" i="88"/>
  <c r="BP44" i="88"/>
  <c r="BP64" i="88" s="1"/>
  <c r="BP43" i="88"/>
  <c r="BP61" i="88" s="1"/>
  <c r="BP39" i="88"/>
  <c r="BP37" i="88"/>
  <c r="BP35" i="88"/>
  <c r="BP27" i="88"/>
  <c r="BP42" i="88"/>
  <c r="BP60" i="88" s="1"/>
  <c r="BP38" i="88"/>
  <c r="BP36" i="88"/>
  <c r="BP34" i="88"/>
  <c r="BP33" i="88"/>
  <c r="BP28" i="88" s="1"/>
  <c r="BP23" i="88"/>
  <c r="AZ45" i="88"/>
  <c r="AZ63" i="88" s="1"/>
  <c r="AZ40" i="88"/>
  <c r="AZ44" i="88"/>
  <c r="AZ64" i="88" s="1"/>
  <c r="AZ43" i="88"/>
  <c r="AZ61" i="88" s="1"/>
  <c r="AZ39" i="88"/>
  <c r="AZ37" i="88"/>
  <c r="AZ35" i="88"/>
  <c r="AZ27" i="88"/>
  <c r="AZ42" i="88"/>
  <c r="AZ60" i="88" s="1"/>
  <c r="AZ38" i="88"/>
  <c r="AZ36" i="88"/>
  <c r="AZ34" i="88"/>
  <c r="AZ33" i="88"/>
  <c r="AZ28" i="88" s="1"/>
  <c r="AZ23" i="88"/>
  <c r="AJ45" i="88"/>
  <c r="AJ63" i="88" s="1"/>
  <c r="AJ40" i="88"/>
  <c r="AJ44" i="88"/>
  <c r="AJ64" i="88" s="1"/>
  <c r="AJ43" i="88"/>
  <c r="AJ61" i="88" s="1"/>
  <c r="AJ39" i="88"/>
  <c r="AJ37" i="88"/>
  <c r="AJ35" i="88"/>
  <c r="AJ27" i="88"/>
  <c r="AJ42" i="88"/>
  <c r="AJ60" i="88" s="1"/>
  <c r="AJ38" i="88"/>
  <c r="AJ36" i="88"/>
  <c r="AJ34" i="88"/>
  <c r="AJ33" i="88"/>
  <c r="AJ28" i="88" s="1"/>
  <c r="AJ23" i="88"/>
  <c r="T45" i="88"/>
  <c r="T63" i="88" s="1"/>
  <c r="T40" i="88"/>
  <c r="T44" i="88"/>
  <c r="T64" i="88" s="1"/>
  <c r="T43" i="88"/>
  <c r="T61" i="88" s="1"/>
  <c r="T39" i="88"/>
  <c r="T37" i="88"/>
  <c r="T35" i="88"/>
  <c r="T27" i="88"/>
  <c r="T42" i="88"/>
  <c r="T60" i="88" s="1"/>
  <c r="T38" i="88"/>
  <c r="T36" i="88"/>
  <c r="T34" i="88"/>
  <c r="T33" i="88"/>
  <c r="T23" i="88"/>
  <c r="CF50" i="88"/>
  <c r="CF52" i="88" s="1"/>
  <c r="BL50" i="88"/>
  <c r="BL52" i="88" s="1"/>
  <c r="AB50" i="88"/>
  <c r="AB52" i="88" s="1"/>
  <c r="T50" i="88"/>
  <c r="T52" i="88" s="1"/>
  <c r="CJ50" i="88"/>
  <c r="CJ52" i="88" s="1"/>
  <c r="CB54" i="88"/>
  <c r="BL54" i="88"/>
  <c r="AV54" i="88"/>
  <c r="AF54" i="88"/>
  <c r="P54" i="88"/>
  <c r="CE42" i="88"/>
  <c r="CE60" i="88" s="1"/>
  <c r="CE45" i="88"/>
  <c r="CE63" i="88" s="1"/>
  <c r="CE44" i="88"/>
  <c r="CE64" i="88" s="1"/>
  <c r="CE43" i="88"/>
  <c r="CE61" i="88" s="1"/>
  <c r="CE33" i="88"/>
  <c r="CE28" i="88" s="1"/>
  <c r="CE39" i="88"/>
  <c r="CE37" i="88"/>
  <c r="CE35" i="88"/>
  <c r="CE27" i="88"/>
  <c r="CE34" i="88"/>
  <c r="CE23" i="88"/>
  <c r="CE40" i="88"/>
  <c r="CE38" i="88"/>
  <c r="CE36" i="88"/>
  <c r="BO42" i="88"/>
  <c r="BO60" i="88" s="1"/>
  <c r="BO45" i="88"/>
  <c r="BO63" i="88" s="1"/>
  <c r="BO44" i="88"/>
  <c r="BO64" i="88" s="1"/>
  <c r="BO43" i="88"/>
  <c r="BO61" i="88" s="1"/>
  <c r="BO33" i="88"/>
  <c r="BO28" i="88" s="1"/>
  <c r="BO39" i="88"/>
  <c r="BO37" i="88"/>
  <c r="BO35" i="88"/>
  <c r="BO27" i="88"/>
  <c r="BO34" i="88"/>
  <c r="BO23" i="88"/>
  <c r="BO36" i="88"/>
  <c r="BO40" i="88"/>
  <c r="BO38" i="88"/>
  <c r="AY42" i="88"/>
  <c r="AY60" i="88" s="1"/>
  <c r="AY45" i="88"/>
  <c r="AY63" i="88" s="1"/>
  <c r="AY44" i="88"/>
  <c r="AY64" i="88" s="1"/>
  <c r="AY43" i="88"/>
  <c r="AY61" i="88" s="1"/>
  <c r="AY33" i="88"/>
  <c r="AY28" i="88" s="1"/>
  <c r="AY39" i="88"/>
  <c r="AY37" i="88"/>
  <c r="AY35" i="88"/>
  <c r="AY27" i="88"/>
  <c r="AY34" i="88"/>
  <c r="AY23" i="88"/>
  <c r="AY40" i="88"/>
  <c r="AY36" i="88"/>
  <c r="AY38" i="88"/>
  <c r="AI42" i="88"/>
  <c r="AI60" i="88" s="1"/>
  <c r="AI45" i="88"/>
  <c r="AI63" i="88" s="1"/>
  <c r="AI44" i="88"/>
  <c r="AI64" i="88" s="1"/>
  <c r="AI43" i="88"/>
  <c r="AI61" i="88" s="1"/>
  <c r="AI33" i="88"/>
  <c r="AI28" i="88" s="1"/>
  <c r="AI39" i="88"/>
  <c r="AI37" i="88"/>
  <c r="AI35" i="88"/>
  <c r="AI27" i="88"/>
  <c r="AI34" i="88"/>
  <c r="AI23" i="88"/>
  <c r="AI40" i="88"/>
  <c r="AI38" i="88"/>
  <c r="AI36" i="88"/>
  <c r="S42" i="88"/>
  <c r="S60" i="88" s="1"/>
  <c r="S45" i="88"/>
  <c r="S63" i="88" s="1"/>
  <c r="S44" i="88"/>
  <c r="S64" i="88" s="1"/>
  <c r="S43" i="88"/>
  <c r="S61" i="88" s="1"/>
  <c r="S39" i="88"/>
  <c r="S37" i="88"/>
  <c r="S35" i="88"/>
  <c r="S34" i="88"/>
  <c r="S36" i="88"/>
  <c r="S38" i="88"/>
  <c r="S40" i="88"/>
  <c r="CM32" i="88"/>
  <c r="CI50" i="88"/>
  <c r="CI52" i="88" s="1"/>
  <c r="CA50" i="88"/>
  <c r="CA52" i="88" s="1"/>
  <c r="BS50" i="88"/>
  <c r="BS52" i="88" s="1"/>
  <c r="BK50" i="88"/>
  <c r="BK52" i="88" s="1"/>
  <c r="BC50" i="88"/>
  <c r="BC52" i="88" s="1"/>
  <c r="AU50" i="88"/>
  <c r="AU52" i="88" s="1"/>
  <c r="AM50" i="88"/>
  <c r="AM52" i="88" s="1"/>
  <c r="AE50" i="88"/>
  <c r="AE52" i="88" s="1"/>
  <c r="W50" i="88"/>
  <c r="W52" i="88" s="1"/>
  <c r="CI54" i="88"/>
  <c r="W54" i="88"/>
  <c r="AW66" i="88"/>
  <c r="BR43" i="88"/>
  <c r="BR61" i="88" s="1"/>
  <c r="BR42" i="88"/>
  <c r="BR60" i="88" s="1"/>
  <c r="BR45" i="88"/>
  <c r="BR63" i="88" s="1"/>
  <c r="BR40" i="88"/>
  <c r="BR38" i="88"/>
  <c r="BR36" i="88"/>
  <c r="BR34" i="88"/>
  <c r="BR33" i="88"/>
  <c r="BR28" i="88" s="1"/>
  <c r="BR44" i="88"/>
  <c r="BR64" i="88" s="1"/>
  <c r="BR39" i="88"/>
  <c r="BR37" i="88"/>
  <c r="BR35" i="88"/>
  <c r="BR27" i="88"/>
  <c r="BR23" i="88"/>
  <c r="U66" i="88"/>
  <c r="AP41" i="88"/>
  <c r="AP62" i="88" s="1"/>
  <c r="AP65" i="88" s="1"/>
  <c r="AP67" i="88" s="1"/>
  <c r="BY66" i="88"/>
  <c r="M66" i="88"/>
  <c r="AH43" i="88"/>
  <c r="AH61" i="88" s="1"/>
  <c r="AH42" i="88"/>
  <c r="AH60" i="88" s="1"/>
  <c r="AH45" i="88"/>
  <c r="AH63" i="88" s="1"/>
  <c r="AH40" i="88"/>
  <c r="AH38" i="88"/>
  <c r="AH36" i="88"/>
  <c r="AH34" i="88"/>
  <c r="AH33" i="88"/>
  <c r="AH28" i="88" s="1"/>
  <c r="AH39" i="88"/>
  <c r="AH37" i="88"/>
  <c r="AH35" i="88"/>
  <c r="AH27" i="88"/>
  <c r="AH44" i="88"/>
  <c r="AH64" i="88" s="1"/>
  <c r="AH23" i="88"/>
  <c r="CL28" i="88"/>
  <c r="CH28" i="88"/>
  <c r="BZ28" i="88"/>
  <c r="BV28" i="88"/>
  <c r="BJ28" i="88"/>
  <c r="BF28" i="88"/>
  <c r="AX28" i="88"/>
  <c r="AT28" i="88"/>
  <c r="AP28" i="88"/>
  <c r="Z28" i="88"/>
  <c r="R50" i="88"/>
  <c r="R52" i="88" s="1"/>
  <c r="N54" i="88"/>
  <c r="CG66" i="88"/>
  <c r="BK54" i="88"/>
  <c r="CK66" i="88"/>
  <c r="Y66" i="88"/>
  <c r="BK51" i="88"/>
  <c r="BK53" i="88" s="1"/>
  <c r="CL41" i="88"/>
  <c r="CL62" i="88" s="1"/>
  <c r="CL65" i="88" s="1"/>
  <c r="CL67" i="88" s="1"/>
  <c r="BF55" i="88"/>
  <c r="BJ55" i="88"/>
  <c r="AT41" i="88"/>
  <c r="AT62" i="88" s="1"/>
  <c r="AT65" i="88" s="1"/>
  <c r="AT67" i="88" s="1"/>
  <c r="AD55" i="88"/>
  <c r="CI65" i="83"/>
  <c r="BS65" i="83"/>
  <c r="BC65" i="83"/>
  <c r="AM65" i="83"/>
  <c r="W65" i="83"/>
  <c r="CD65" i="83"/>
  <c r="BN65" i="83"/>
  <c r="AX65" i="83"/>
  <c r="AH65" i="83"/>
  <c r="R65" i="83"/>
  <c r="BL65" i="83"/>
  <c r="AV65" i="83"/>
  <c r="P65" i="83"/>
  <c r="CM49" i="83"/>
  <c r="CM50" i="83"/>
  <c r="CB65" i="83"/>
  <c r="AF65" i="83"/>
  <c r="AK46" i="83"/>
  <c r="AK62" i="83" s="1"/>
  <c r="AK44" i="83"/>
  <c r="AK60" i="83" s="1"/>
  <c r="AK40" i="83"/>
  <c r="AK38" i="83"/>
  <c r="AK43" i="83"/>
  <c r="AK59" i="83" s="1"/>
  <c r="AK41" i="83"/>
  <c r="AK39" i="83"/>
  <c r="AK45" i="83"/>
  <c r="AK63" i="83" s="1"/>
  <c r="AK36" i="83"/>
  <c r="AK37" i="83"/>
  <c r="AK35" i="83"/>
  <c r="AK34" i="83"/>
  <c r="AK28" i="83"/>
  <c r="CC46" i="83"/>
  <c r="CC62" i="83" s="1"/>
  <c r="CC45" i="83"/>
  <c r="CC63" i="83" s="1"/>
  <c r="CC44" i="83"/>
  <c r="CC60" i="83" s="1"/>
  <c r="CC40" i="83"/>
  <c r="CC38" i="83"/>
  <c r="CC43" i="83"/>
  <c r="CC59" i="83" s="1"/>
  <c r="CC41" i="83"/>
  <c r="CC39" i="83"/>
  <c r="CC36" i="83"/>
  <c r="CC28" i="83"/>
  <c r="CC56" i="83" s="1"/>
  <c r="CC37" i="83"/>
  <c r="CC35" i="83"/>
  <c r="CC34" i="83"/>
  <c r="AW46" i="83"/>
  <c r="AW62" i="83" s="1"/>
  <c r="AW44" i="83"/>
  <c r="AW60" i="83" s="1"/>
  <c r="AW40" i="83"/>
  <c r="AW38" i="83"/>
  <c r="AW43" i="83"/>
  <c r="AW59" i="83" s="1"/>
  <c r="AW41" i="83"/>
  <c r="AW39" i="83"/>
  <c r="AW45" i="83"/>
  <c r="AW63" i="83" s="1"/>
  <c r="AW36" i="83"/>
  <c r="AW37" i="83"/>
  <c r="AW35" i="83"/>
  <c r="AW34" i="83"/>
  <c r="AW28" i="83"/>
  <c r="BY46" i="83"/>
  <c r="BY62" i="83" s="1"/>
  <c r="BY44" i="83"/>
  <c r="BY60" i="83" s="1"/>
  <c r="BY40" i="83"/>
  <c r="BY38" i="83"/>
  <c r="BY43" i="83"/>
  <c r="BY59" i="83" s="1"/>
  <c r="BY41" i="83"/>
  <c r="BY39" i="83"/>
  <c r="BY45" i="83"/>
  <c r="BY63" i="83" s="1"/>
  <c r="BY36" i="83"/>
  <c r="BY28" i="83"/>
  <c r="BY56" i="83" s="1"/>
  <c r="BY37" i="83"/>
  <c r="BY35" i="83"/>
  <c r="BY34" i="83"/>
  <c r="BI46" i="83"/>
  <c r="BI62" i="83" s="1"/>
  <c r="BI44" i="83"/>
  <c r="BI60" i="83" s="1"/>
  <c r="BI40" i="83"/>
  <c r="BI38" i="83"/>
  <c r="BI43" i="83"/>
  <c r="BI59" i="83" s="1"/>
  <c r="BI41" i="83"/>
  <c r="BI39" i="83"/>
  <c r="BI45" i="83"/>
  <c r="BI63" i="83" s="1"/>
  <c r="BI36" i="83"/>
  <c r="BI37" i="83"/>
  <c r="BI35" i="83"/>
  <c r="BI34" i="83"/>
  <c r="BI28" i="83"/>
  <c r="AS46" i="83"/>
  <c r="AS62" i="83" s="1"/>
  <c r="AS44" i="83"/>
  <c r="AS60" i="83" s="1"/>
  <c r="AS40" i="83"/>
  <c r="AS38" i="83"/>
  <c r="AS43" i="83"/>
  <c r="AS59" i="83" s="1"/>
  <c r="AS41" i="83"/>
  <c r="AS39" i="83"/>
  <c r="AS45" i="83"/>
  <c r="AS63" i="83" s="1"/>
  <c r="AS36" i="83"/>
  <c r="AS37" i="83"/>
  <c r="AS35" i="83"/>
  <c r="AS34" i="83"/>
  <c r="AS28" i="83"/>
  <c r="AS56" i="83" s="1"/>
  <c r="AC46" i="83"/>
  <c r="AC62" i="83" s="1"/>
  <c r="AC44" i="83"/>
  <c r="AC60" i="83" s="1"/>
  <c r="AC40" i="83"/>
  <c r="AC38" i="83"/>
  <c r="AC43" i="83"/>
  <c r="AC59" i="83" s="1"/>
  <c r="AC41" i="83"/>
  <c r="AC39" i="83"/>
  <c r="AC45" i="83"/>
  <c r="AC63" i="83" s="1"/>
  <c r="AC36" i="83"/>
  <c r="AC37" i="83"/>
  <c r="AC35" i="83"/>
  <c r="AC34" i="83"/>
  <c r="AC28" i="83"/>
  <c r="M46" i="83"/>
  <c r="M62" i="83" s="1"/>
  <c r="M44" i="83"/>
  <c r="M60" i="83" s="1"/>
  <c r="M40" i="83"/>
  <c r="M38" i="83"/>
  <c r="M43" i="83"/>
  <c r="M59" i="83" s="1"/>
  <c r="M41" i="83"/>
  <c r="M39" i="83"/>
  <c r="M45" i="83"/>
  <c r="M63" i="83" s="1"/>
  <c r="M36" i="83"/>
  <c r="M37" i="83"/>
  <c r="M35" i="83"/>
  <c r="CF46" i="83"/>
  <c r="CF62" i="83" s="1"/>
  <c r="CF44" i="83"/>
  <c r="CF60" i="83" s="1"/>
  <c r="CF40" i="83"/>
  <c r="CF38" i="83"/>
  <c r="CF43" i="83"/>
  <c r="CF59" i="83" s="1"/>
  <c r="CF45" i="83"/>
  <c r="CF63" i="83" s="1"/>
  <c r="CF41" i="83"/>
  <c r="CF39" i="83"/>
  <c r="CF34" i="83"/>
  <c r="CF36" i="83"/>
  <c r="CF37" i="83"/>
  <c r="CF35" i="83"/>
  <c r="CF28" i="83"/>
  <c r="BP46" i="83"/>
  <c r="BP62" i="83" s="1"/>
  <c r="BP45" i="83"/>
  <c r="BP63" i="83" s="1"/>
  <c r="BP44" i="83"/>
  <c r="BP60" i="83" s="1"/>
  <c r="BP40" i="83"/>
  <c r="BP38" i="83"/>
  <c r="BP43" i="83"/>
  <c r="BP59" i="83" s="1"/>
  <c r="BP41" i="83"/>
  <c r="BP39" i="83"/>
  <c r="BP34" i="83"/>
  <c r="BP36" i="83"/>
  <c r="BP37" i="83"/>
  <c r="BP35" i="83"/>
  <c r="BP28" i="83"/>
  <c r="BP56" i="83" s="1"/>
  <c r="AZ46" i="83"/>
  <c r="AZ62" i="83" s="1"/>
  <c r="AZ45" i="83"/>
  <c r="AZ63" i="83" s="1"/>
  <c r="AZ44" i="83"/>
  <c r="AZ60" i="83" s="1"/>
  <c r="AZ40" i="83"/>
  <c r="AZ38" i="83"/>
  <c r="AZ43" i="83"/>
  <c r="AZ59" i="83" s="1"/>
  <c r="AZ41" i="83"/>
  <c r="AZ39" i="83"/>
  <c r="AZ34" i="83"/>
  <c r="AZ36" i="83"/>
  <c r="AZ37" i="83"/>
  <c r="AZ35" i="83"/>
  <c r="AZ28" i="83"/>
  <c r="AJ46" i="83"/>
  <c r="AJ62" i="83" s="1"/>
  <c r="AJ45" i="83"/>
  <c r="AJ63" i="83" s="1"/>
  <c r="AJ44" i="83"/>
  <c r="AJ60" i="83" s="1"/>
  <c r="AJ40" i="83"/>
  <c r="AJ38" i="83"/>
  <c r="AJ43" i="83"/>
  <c r="AJ59" i="83" s="1"/>
  <c r="AJ41" i="83"/>
  <c r="AJ39" i="83"/>
  <c r="AJ34" i="83"/>
  <c r="AJ36" i="83"/>
  <c r="AJ37" i="83"/>
  <c r="AJ35" i="83"/>
  <c r="AJ28" i="83"/>
  <c r="AJ56" i="83" s="1"/>
  <c r="T46" i="83"/>
  <c r="T62" i="83" s="1"/>
  <c r="T45" i="83"/>
  <c r="T63" i="83" s="1"/>
  <c r="T44" i="83"/>
  <c r="T60" i="83" s="1"/>
  <c r="T40" i="83"/>
  <c r="T43" i="83"/>
  <c r="T59" i="83" s="1"/>
  <c r="T41" i="83"/>
  <c r="T39" i="83"/>
  <c r="T34" i="83"/>
  <c r="T36" i="83"/>
  <c r="T38" i="83"/>
  <c r="T37" i="83"/>
  <c r="T35" i="83"/>
  <c r="T28" i="83"/>
  <c r="CE46" i="83"/>
  <c r="CE62" i="83" s="1"/>
  <c r="CE45" i="83"/>
  <c r="CE63" i="83" s="1"/>
  <c r="CE41" i="83"/>
  <c r="CE39" i="83"/>
  <c r="CE44" i="83"/>
  <c r="CE60" i="83" s="1"/>
  <c r="CE40" i="83"/>
  <c r="CE38" i="83"/>
  <c r="CE43" i="83"/>
  <c r="CE59" i="83" s="1"/>
  <c r="CE37" i="83"/>
  <c r="CE35" i="83"/>
  <c r="CE34" i="83"/>
  <c r="CE36" i="83"/>
  <c r="CE28" i="83"/>
  <c r="BO46" i="83"/>
  <c r="BO62" i="83" s="1"/>
  <c r="BO41" i="83"/>
  <c r="BO39" i="83"/>
  <c r="BO45" i="83"/>
  <c r="BO63" i="83" s="1"/>
  <c r="BO44" i="83"/>
  <c r="BO60" i="83" s="1"/>
  <c r="BO40" i="83"/>
  <c r="BO38" i="83"/>
  <c r="BO43" i="83"/>
  <c r="BO59" i="83" s="1"/>
  <c r="BO37" i="83"/>
  <c r="BO35" i="83"/>
  <c r="BO34" i="83"/>
  <c r="BO36" i="83"/>
  <c r="BO28" i="83"/>
  <c r="AY46" i="83"/>
  <c r="AY62" i="83" s="1"/>
  <c r="AY41" i="83"/>
  <c r="AY39" i="83"/>
  <c r="AY45" i="83"/>
  <c r="AY63" i="83" s="1"/>
  <c r="AY44" i="83"/>
  <c r="AY60" i="83" s="1"/>
  <c r="AY40" i="83"/>
  <c r="AY38" i="83"/>
  <c r="AY43" i="83"/>
  <c r="AY59" i="83" s="1"/>
  <c r="AY37" i="83"/>
  <c r="AY35" i="83"/>
  <c r="AY34" i="83"/>
  <c r="AY36" i="83"/>
  <c r="AY28" i="83"/>
  <c r="AI46" i="83"/>
  <c r="AI62" i="83" s="1"/>
  <c r="AI41" i="83"/>
  <c r="AI39" i="83"/>
  <c r="AI45" i="83"/>
  <c r="AI63" i="83" s="1"/>
  <c r="AI44" i="83"/>
  <c r="AI60" i="83" s="1"/>
  <c r="AI40" i="83"/>
  <c r="AI38" i="83"/>
  <c r="AI43" i="83"/>
  <c r="AI59" i="83" s="1"/>
  <c r="AI37" i="83"/>
  <c r="AI35" i="83"/>
  <c r="AI34" i="83"/>
  <c r="AI36" i="83"/>
  <c r="AI28" i="83"/>
  <c r="S46" i="83"/>
  <c r="S62" i="83" s="1"/>
  <c r="S41" i="83"/>
  <c r="S39" i="83"/>
  <c r="S45" i="83"/>
  <c r="S63" i="83" s="1"/>
  <c r="S44" i="83"/>
  <c r="S60" i="83" s="1"/>
  <c r="S40" i="83"/>
  <c r="S43" i="83"/>
  <c r="S59" i="83" s="1"/>
  <c r="S37" i="83"/>
  <c r="S35" i="83"/>
  <c r="S36" i="83"/>
  <c r="S38" i="83"/>
  <c r="AS65" i="83"/>
  <c r="AC65" i="83"/>
  <c r="M65" i="83"/>
  <c r="CD45" i="83"/>
  <c r="CD63" i="83" s="1"/>
  <c r="CD46" i="83"/>
  <c r="CD62" i="83" s="1"/>
  <c r="CD43" i="83"/>
  <c r="CD59" i="83" s="1"/>
  <c r="CD41" i="83"/>
  <c r="CD39" i="83"/>
  <c r="CD44" i="83"/>
  <c r="CD60" i="83" s="1"/>
  <c r="CD40" i="83"/>
  <c r="CD38" i="83"/>
  <c r="CD37" i="83"/>
  <c r="CD35" i="83"/>
  <c r="CD34" i="83"/>
  <c r="CD36" i="83"/>
  <c r="CD28" i="83"/>
  <c r="BN46" i="83"/>
  <c r="BN62" i="83" s="1"/>
  <c r="BN43" i="83"/>
  <c r="BN59" i="83" s="1"/>
  <c r="BN41" i="83"/>
  <c r="BN39" i="83"/>
  <c r="BN45" i="83"/>
  <c r="BN63" i="83" s="1"/>
  <c r="BN44" i="83"/>
  <c r="BN60" i="83" s="1"/>
  <c r="BN40" i="83"/>
  <c r="BN38" i="83"/>
  <c r="BN37" i="83"/>
  <c r="BN35" i="83"/>
  <c r="BN34" i="83"/>
  <c r="BN36" i="83"/>
  <c r="BN28" i="83"/>
  <c r="AX46" i="83"/>
  <c r="AX62" i="83" s="1"/>
  <c r="AX43" i="83"/>
  <c r="AX59" i="83" s="1"/>
  <c r="AX41" i="83"/>
  <c r="AX39" i="83"/>
  <c r="AX45" i="83"/>
  <c r="AX63" i="83" s="1"/>
  <c r="AX44" i="83"/>
  <c r="AX60" i="83" s="1"/>
  <c r="AX40" i="83"/>
  <c r="AX38" i="83"/>
  <c r="AX37" i="83"/>
  <c r="AX35" i="83"/>
  <c r="AX34" i="83"/>
  <c r="AX36" i="83"/>
  <c r="AX28" i="83"/>
  <c r="AH46" i="83"/>
  <c r="AH62" i="83" s="1"/>
  <c r="AH43" i="83"/>
  <c r="AH59" i="83" s="1"/>
  <c r="AH41" i="83"/>
  <c r="AH39" i="83"/>
  <c r="AH45" i="83"/>
  <c r="AH63" i="83" s="1"/>
  <c r="AH44" i="83"/>
  <c r="AH60" i="83" s="1"/>
  <c r="AH40" i="83"/>
  <c r="AH38" i="83"/>
  <c r="AH37" i="83"/>
  <c r="AH35" i="83"/>
  <c r="AH34" i="83"/>
  <c r="AH36" i="83"/>
  <c r="AH28" i="83"/>
  <c r="R46" i="83"/>
  <c r="R62" i="83" s="1"/>
  <c r="R43" i="83"/>
  <c r="R59" i="83" s="1"/>
  <c r="R41" i="83"/>
  <c r="R39" i="83"/>
  <c r="R45" i="83"/>
  <c r="R63" i="83" s="1"/>
  <c r="R44" i="83"/>
  <c r="R60" i="83" s="1"/>
  <c r="R40" i="83"/>
  <c r="R38" i="83"/>
  <c r="R37" i="83"/>
  <c r="R35" i="83"/>
  <c r="R36" i="83"/>
  <c r="BI65" i="83"/>
  <c r="BA46" i="83"/>
  <c r="BA62" i="83" s="1"/>
  <c r="BA44" i="83"/>
  <c r="BA60" i="83" s="1"/>
  <c r="BA40" i="83"/>
  <c r="BA38" i="83"/>
  <c r="BA43" i="83"/>
  <c r="BA59" i="83" s="1"/>
  <c r="BA41" i="83"/>
  <c r="BA39" i="83"/>
  <c r="BA45" i="83"/>
  <c r="BA63" i="83" s="1"/>
  <c r="BA36" i="83"/>
  <c r="BA37" i="83"/>
  <c r="BA35" i="83"/>
  <c r="BA34" i="83"/>
  <c r="BA28" i="83"/>
  <c r="BA56" i="83" s="1"/>
  <c r="AG46" i="83"/>
  <c r="AG62" i="83" s="1"/>
  <c r="AG44" i="83"/>
  <c r="AG60" i="83" s="1"/>
  <c r="AG40" i="83"/>
  <c r="AG38" i="83"/>
  <c r="AG43" i="83"/>
  <c r="AG59" i="83" s="1"/>
  <c r="AG41" i="83"/>
  <c r="AG39" i="83"/>
  <c r="AG45" i="83"/>
  <c r="AG63" i="83" s="1"/>
  <c r="AG36" i="83"/>
  <c r="AG37" i="83"/>
  <c r="AG35" i="83"/>
  <c r="AG34" i="83"/>
  <c r="AG28" i="83"/>
  <c r="CK46" i="83"/>
  <c r="CK62" i="83" s="1"/>
  <c r="CK45" i="83"/>
  <c r="CK63" i="83" s="1"/>
  <c r="CK44" i="83"/>
  <c r="CK60" i="83" s="1"/>
  <c r="CK40" i="83"/>
  <c r="CK38" i="83"/>
  <c r="CK43" i="83"/>
  <c r="CK59" i="83" s="1"/>
  <c r="CK41" i="83"/>
  <c r="CK39" i="83"/>
  <c r="CK36" i="83"/>
  <c r="CK28" i="83"/>
  <c r="CK56" i="83" s="1"/>
  <c r="CK37" i="83"/>
  <c r="CK35" i="83"/>
  <c r="CK34" i="83"/>
  <c r="BU46" i="83"/>
  <c r="BU62" i="83" s="1"/>
  <c r="BU44" i="83"/>
  <c r="BU60" i="83" s="1"/>
  <c r="BU40" i="83"/>
  <c r="BU38" i="83"/>
  <c r="BU43" i="83"/>
  <c r="BU59" i="83" s="1"/>
  <c r="BU41" i="83"/>
  <c r="BU39" i="83"/>
  <c r="BU45" i="83"/>
  <c r="BU63" i="83" s="1"/>
  <c r="BU36" i="83"/>
  <c r="BU37" i="83"/>
  <c r="BU35" i="83"/>
  <c r="BU34" i="83"/>
  <c r="BU28" i="83"/>
  <c r="BE46" i="83"/>
  <c r="BE62" i="83" s="1"/>
  <c r="BE44" i="83"/>
  <c r="BE60" i="83" s="1"/>
  <c r="BE40" i="83"/>
  <c r="BE38" i="83"/>
  <c r="BE43" i="83"/>
  <c r="BE59" i="83" s="1"/>
  <c r="BE41" i="83"/>
  <c r="BE39" i="83"/>
  <c r="BE45" i="83"/>
  <c r="BE63" i="83" s="1"/>
  <c r="BE36" i="83"/>
  <c r="BE37" i="83"/>
  <c r="BE35" i="83"/>
  <c r="BE34" i="83"/>
  <c r="BE28" i="83"/>
  <c r="BE56" i="83" s="1"/>
  <c r="AO46" i="83"/>
  <c r="AO62" i="83" s="1"/>
  <c r="AO44" i="83"/>
  <c r="AO60" i="83" s="1"/>
  <c r="AO40" i="83"/>
  <c r="AO38" i="83"/>
  <c r="AO43" i="83"/>
  <c r="AO59" i="83" s="1"/>
  <c r="AO41" i="83"/>
  <c r="AO39" i="83"/>
  <c r="AO45" i="83"/>
  <c r="AO63" i="83" s="1"/>
  <c r="AO36" i="83"/>
  <c r="AO37" i="83"/>
  <c r="AO35" i="83"/>
  <c r="AO34" i="83"/>
  <c r="AO28" i="83"/>
  <c r="Y46" i="83"/>
  <c r="Y62" i="83" s="1"/>
  <c r="Y44" i="83"/>
  <c r="Y60" i="83" s="1"/>
  <c r="Y40" i="83"/>
  <c r="Y38" i="83"/>
  <c r="Y43" i="83"/>
  <c r="Y59" i="83" s="1"/>
  <c r="Y41" i="83"/>
  <c r="Y39" i="83"/>
  <c r="Y45" i="83"/>
  <c r="Y63" i="83" s="1"/>
  <c r="Y36" i="83"/>
  <c r="Y37" i="83"/>
  <c r="Y35" i="83"/>
  <c r="Y34" i="83"/>
  <c r="Y28" i="83"/>
  <c r="Y56" i="83" s="1"/>
  <c r="I46" i="83"/>
  <c r="I62" i="83" s="1"/>
  <c r="I44" i="83"/>
  <c r="I60" i="83" s="1"/>
  <c r="I43" i="83"/>
  <c r="I59" i="83" s="1"/>
  <c r="I45" i="83"/>
  <c r="I63" i="83" s="1"/>
  <c r="I56" i="83"/>
  <c r="CB46" i="83"/>
  <c r="CB62" i="83" s="1"/>
  <c r="CB45" i="83"/>
  <c r="CB63" i="83" s="1"/>
  <c r="CB44" i="83"/>
  <c r="CB60" i="83" s="1"/>
  <c r="CB40" i="83"/>
  <c r="CB38" i="83"/>
  <c r="CB43" i="83"/>
  <c r="CB59" i="83" s="1"/>
  <c r="CB41" i="83"/>
  <c r="CB39" i="83"/>
  <c r="CB34" i="83"/>
  <c r="CB36" i="83"/>
  <c r="CB37" i="83"/>
  <c r="CB35" i="83"/>
  <c r="CB28" i="83"/>
  <c r="CB56" i="83" s="1"/>
  <c r="BL46" i="83"/>
  <c r="BL62" i="83" s="1"/>
  <c r="BL45" i="83"/>
  <c r="BL63" i="83" s="1"/>
  <c r="BL44" i="83"/>
  <c r="BL60" i="83" s="1"/>
  <c r="BL40" i="83"/>
  <c r="BL38" i="83"/>
  <c r="BL43" i="83"/>
  <c r="BL59" i="83" s="1"/>
  <c r="BL41" i="83"/>
  <c r="BL39" i="83"/>
  <c r="BL34" i="83"/>
  <c r="BL36" i="83"/>
  <c r="BL37" i="83"/>
  <c r="BL35" i="83"/>
  <c r="BL28" i="83"/>
  <c r="BL56" i="83" s="1"/>
  <c r="AV46" i="83"/>
  <c r="AV62" i="83" s="1"/>
  <c r="AV45" i="83"/>
  <c r="AV63" i="83" s="1"/>
  <c r="AV44" i="83"/>
  <c r="AV60" i="83" s="1"/>
  <c r="AV40" i="83"/>
  <c r="AV38" i="83"/>
  <c r="AV43" i="83"/>
  <c r="AV59" i="83" s="1"/>
  <c r="AV41" i="83"/>
  <c r="AV39" i="83"/>
  <c r="AV34" i="83"/>
  <c r="AV36" i="83"/>
  <c r="AV37" i="83"/>
  <c r="AV35" i="83"/>
  <c r="AV28" i="83"/>
  <c r="AV56" i="83" s="1"/>
  <c r="AF46" i="83"/>
  <c r="AF62" i="83" s="1"/>
  <c r="AF45" i="83"/>
  <c r="AF63" i="83" s="1"/>
  <c r="AF44" i="83"/>
  <c r="AF60" i="83" s="1"/>
  <c r="AF40" i="83"/>
  <c r="AF38" i="83"/>
  <c r="AF43" i="83"/>
  <c r="AF59" i="83" s="1"/>
  <c r="AF41" i="83"/>
  <c r="AF39" i="83"/>
  <c r="AF34" i="83"/>
  <c r="AF36" i="83"/>
  <c r="AF37" i="83"/>
  <c r="AF35" i="83"/>
  <c r="AF28" i="83"/>
  <c r="AF56" i="83" s="1"/>
  <c r="P46" i="83"/>
  <c r="P62" i="83" s="1"/>
  <c r="P45" i="83"/>
  <c r="P63" i="83" s="1"/>
  <c r="P44" i="83"/>
  <c r="P60" i="83" s="1"/>
  <c r="P40" i="83"/>
  <c r="P43" i="83"/>
  <c r="P59" i="83" s="1"/>
  <c r="P41" i="83"/>
  <c r="P39" i="83"/>
  <c r="P38" i="83"/>
  <c r="P36" i="83"/>
  <c r="P37" i="83"/>
  <c r="P35" i="83"/>
  <c r="CA46" i="83"/>
  <c r="CA62" i="83" s="1"/>
  <c r="CA45" i="83"/>
  <c r="CA63" i="83" s="1"/>
  <c r="CA41" i="83"/>
  <c r="CA39" i="83"/>
  <c r="CA44" i="83"/>
  <c r="CA60" i="83" s="1"/>
  <c r="CA40" i="83"/>
  <c r="CA38" i="83"/>
  <c r="CA43" i="83"/>
  <c r="CA59" i="83" s="1"/>
  <c r="CA37" i="83"/>
  <c r="CA35" i="83"/>
  <c r="CA34" i="83"/>
  <c r="CA36" i="83"/>
  <c r="CA28" i="83"/>
  <c r="BK46" i="83"/>
  <c r="BK62" i="83" s="1"/>
  <c r="BK41" i="83"/>
  <c r="BK39" i="83"/>
  <c r="BK45" i="83"/>
  <c r="BK63" i="83" s="1"/>
  <c r="BK44" i="83"/>
  <c r="BK60" i="83" s="1"/>
  <c r="BK40" i="83"/>
  <c r="BK38" i="83"/>
  <c r="BK43" i="83"/>
  <c r="BK59" i="83" s="1"/>
  <c r="BK37" i="83"/>
  <c r="BK35" i="83"/>
  <c r="BK34" i="83"/>
  <c r="BK36" i="83"/>
  <c r="BK28" i="83"/>
  <c r="BK56" i="83" s="1"/>
  <c r="AU46" i="83"/>
  <c r="AU62" i="83" s="1"/>
  <c r="AU41" i="83"/>
  <c r="AU39" i="83"/>
  <c r="AU45" i="83"/>
  <c r="AU63" i="83" s="1"/>
  <c r="AU44" i="83"/>
  <c r="AU60" i="83" s="1"/>
  <c r="AU40" i="83"/>
  <c r="AU38" i="83"/>
  <c r="AU43" i="83"/>
  <c r="AU59" i="83" s="1"/>
  <c r="AU37" i="83"/>
  <c r="AU35" i="83"/>
  <c r="AU34" i="83"/>
  <c r="AU36" i="83"/>
  <c r="AU28" i="83"/>
  <c r="AE46" i="83"/>
  <c r="AE62" i="83" s="1"/>
  <c r="AE41" i="83"/>
  <c r="AE39" i="83"/>
  <c r="AE45" i="83"/>
  <c r="AE63" i="83" s="1"/>
  <c r="AE44" i="83"/>
  <c r="AE60" i="83" s="1"/>
  <c r="AE40" i="83"/>
  <c r="AE38" i="83"/>
  <c r="AE43" i="83"/>
  <c r="AE59" i="83" s="1"/>
  <c r="AE37" i="83"/>
  <c r="AE35" i="83"/>
  <c r="AE34" i="83"/>
  <c r="AE36" i="83"/>
  <c r="AE28" i="83"/>
  <c r="AE56" i="83" s="1"/>
  <c r="O41" i="83"/>
  <c r="O39" i="83"/>
  <c r="O46" i="83"/>
  <c r="O62" i="83" s="1"/>
  <c r="O45" i="83"/>
  <c r="O63" i="83" s="1"/>
  <c r="O44" i="83"/>
  <c r="O60" i="83" s="1"/>
  <c r="O40" i="83"/>
  <c r="O43" i="83"/>
  <c r="O59" i="83" s="1"/>
  <c r="O37" i="83"/>
  <c r="O35" i="83"/>
  <c r="O38" i="83"/>
  <c r="O36" i="83"/>
  <c r="CM47" i="83"/>
  <c r="AO65" i="83"/>
  <c r="Y65" i="83"/>
  <c r="I65" i="83"/>
  <c r="BZ46" i="83"/>
  <c r="BZ62" i="83" s="1"/>
  <c r="BZ43" i="83"/>
  <c r="BZ59" i="83" s="1"/>
  <c r="BZ41" i="83"/>
  <c r="BZ39" i="83"/>
  <c r="BZ45" i="83"/>
  <c r="BZ63" i="83" s="1"/>
  <c r="BZ44" i="83"/>
  <c r="BZ60" i="83" s="1"/>
  <c r="BZ40" i="83"/>
  <c r="BZ38" i="83"/>
  <c r="BZ37" i="83"/>
  <c r="BZ35" i="83"/>
  <c r="BZ34" i="83"/>
  <c r="BZ36" i="83"/>
  <c r="BZ28" i="83"/>
  <c r="BJ46" i="83"/>
  <c r="BJ62" i="83" s="1"/>
  <c r="BJ43" i="83"/>
  <c r="BJ59" i="83" s="1"/>
  <c r="BJ41" i="83"/>
  <c r="BJ39" i="83"/>
  <c r="BJ45" i="83"/>
  <c r="BJ63" i="83" s="1"/>
  <c r="BJ44" i="83"/>
  <c r="BJ60" i="83" s="1"/>
  <c r="BJ40" i="83"/>
  <c r="BJ38" i="83"/>
  <c r="BJ37" i="83"/>
  <c r="BJ35" i="83"/>
  <c r="BJ34" i="83"/>
  <c r="BJ36" i="83"/>
  <c r="BJ28" i="83"/>
  <c r="BJ56" i="83" s="1"/>
  <c r="AT46" i="83"/>
  <c r="AT62" i="83" s="1"/>
  <c r="AT43" i="83"/>
  <c r="AT59" i="83" s="1"/>
  <c r="AT41" i="83"/>
  <c r="AT39" i="83"/>
  <c r="AT45" i="83"/>
  <c r="AT63" i="83" s="1"/>
  <c r="AT44" i="83"/>
  <c r="AT60" i="83" s="1"/>
  <c r="AT40" i="83"/>
  <c r="AT38" i="83"/>
  <c r="AT37" i="83"/>
  <c r="AT35" i="83"/>
  <c r="AT34" i="83"/>
  <c r="AT36" i="83"/>
  <c r="AT28" i="83"/>
  <c r="AD46" i="83"/>
  <c r="AD62" i="83" s="1"/>
  <c r="AD43" i="83"/>
  <c r="AD59" i="83" s="1"/>
  <c r="AD41" i="83"/>
  <c r="AD39" i="83"/>
  <c r="AD45" i="83"/>
  <c r="AD63" i="83" s="1"/>
  <c r="AD44" i="83"/>
  <c r="AD60" i="83" s="1"/>
  <c r="AD40" i="83"/>
  <c r="AD38" i="83"/>
  <c r="AD37" i="83"/>
  <c r="AD35" i="83"/>
  <c r="AD34" i="83"/>
  <c r="AD36" i="83"/>
  <c r="AD28" i="83"/>
  <c r="AD56" i="83" s="1"/>
  <c r="N46" i="83"/>
  <c r="N62" i="83" s="1"/>
  <c r="N43" i="83"/>
  <c r="N59" i="83" s="1"/>
  <c r="N41" i="83"/>
  <c r="N39" i="83"/>
  <c r="N45" i="83"/>
  <c r="N63" i="83" s="1"/>
  <c r="N44" i="83"/>
  <c r="N60" i="83" s="1"/>
  <c r="N40" i="83"/>
  <c r="N38" i="83"/>
  <c r="N37" i="83"/>
  <c r="N35" i="83"/>
  <c r="N36" i="83"/>
  <c r="CK65" i="83"/>
  <c r="BY65" i="83"/>
  <c r="CG46" i="83"/>
  <c r="CG62" i="83" s="1"/>
  <c r="CG44" i="83"/>
  <c r="CG60" i="83" s="1"/>
  <c r="CG40" i="83"/>
  <c r="CG38" i="83"/>
  <c r="CG43" i="83"/>
  <c r="CG59" i="83" s="1"/>
  <c r="CG45" i="83"/>
  <c r="CG63" i="83" s="1"/>
  <c r="CG41" i="83"/>
  <c r="CG39" i="83"/>
  <c r="CG36" i="83"/>
  <c r="CG28" i="83"/>
  <c r="CG37" i="83"/>
  <c r="CG35" i="83"/>
  <c r="CG34" i="83"/>
  <c r="CG56" i="83"/>
  <c r="U46" i="83"/>
  <c r="U62" i="83" s="1"/>
  <c r="U44" i="83"/>
  <c r="U60" i="83" s="1"/>
  <c r="U40" i="83"/>
  <c r="U38" i="83"/>
  <c r="U43" i="83"/>
  <c r="U59" i="83" s="1"/>
  <c r="U41" i="83"/>
  <c r="U39" i="83"/>
  <c r="U45" i="83"/>
  <c r="U63" i="83" s="1"/>
  <c r="U36" i="83"/>
  <c r="U37" i="83"/>
  <c r="U35" i="83"/>
  <c r="U34" i="83"/>
  <c r="U28" i="83"/>
  <c r="BX46" i="83"/>
  <c r="BX62" i="83" s="1"/>
  <c r="BX45" i="83"/>
  <c r="BX63" i="83" s="1"/>
  <c r="BX44" i="83"/>
  <c r="BX60" i="83" s="1"/>
  <c r="BX40" i="83"/>
  <c r="BX38" i="83"/>
  <c r="BX43" i="83"/>
  <c r="BX59" i="83" s="1"/>
  <c r="BX41" i="83"/>
  <c r="BX39" i="83"/>
  <c r="BX34" i="83"/>
  <c r="BX36" i="83"/>
  <c r="BX37" i="83"/>
  <c r="BX35" i="83"/>
  <c r="BX28" i="83"/>
  <c r="BH46" i="83"/>
  <c r="BH62" i="83" s="1"/>
  <c r="BH45" i="83"/>
  <c r="BH63" i="83" s="1"/>
  <c r="BH44" i="83"/>
  <c r="BH60" i="83" s="1"/>
  <c r="BH40" i="83"/>
  <c r="BH38" i="83"/>
  <c r="BH43" i="83"/>
  <c r="BH59" i="83" s="1"/>
  <c r="BH41" i="83"/>
  <c r="BH39" i="83"/>
  <c r="BH34" i="83"/>
  <c r="BH36" i="83"/>
  <c r="BH37" i="83"/>
  <c r="BH35" i="83"/>
  <c r="BH28" i="83"/>
  <c r="AR46" i="83"/>
  <c r="AR62" i="83" s="1"/>
  <c r="AR45" i="83"/>
  <c r="AR63" i="83" s="1"/>
  <c r="AR44" i="83"/>
  <c r="AR60" i="83" s="1"/>
  <c r="AR40" i="83"/>
  <c r="AR38" i="83"/>
  <c r="AR43" i="83"/>
  <c r="AR59" i="83" s="1"/>
  <c r="AR41" i="83"/>
  <c r="AR39" i="83"/>
  <c r="AR34" i="83"/>
  <c r="AR36" i="83"/>
  <c r="AR37" i="83"/>
  <c r="AR35" i="83"/>
  <c r="AR28" i="83"/>
  <c r="AB46" i="83"/>
  <c r="AB62" i="83" s="1"/>
  <c r="AB45" i="83"/>
  <c r="AB63" i="83" s="1"/>
  <c r="AB44" i="83"/>
  <c r="AB60" i="83" s="1"/>
  <c r="AB40" i="83"/>
  <c r="AB38" i="83"/>
  <c r="AB43" i="83"/>
  <c r="AB59" i="83" s="1"/>
  <c r="AB41" i="83"/>
  <c r="AB39" i="83"/>
  <c r="AB34" i="83"/>
  <c r="AB36" i="83"/>
  <c r="AB37" i="83"/>
  <c r="AB35" i="83"/>
  <c r="AB28" i="83"/>
  <c r="L46" i="83"/>
  <c r="L62" i="83" s="1"/>
  <c r="L45" i="83"/>
  <c r="L63" i="83" s="1"/>
  <c r="L44" i="83"/>
  <c r="L60" i="83" s="1"/>
  <c r="L40" i="83"/>
  <c r="L43" i="83"/>
  <c r="L59" i="83" s="1"/>
  <c r="L41" i="83"/>
  <c r="L39" i="83"/>
  <c r="L36" i="83"/>
  <c r="L38" i="83"/>
  <c r="L37" i="83"/>
  <c r="L35" i="83"/>
  <c r="BW46" i="83"/>
  <c r="BW62" i="83" s="1"/>
  <c r="BW41" i="83"/>
  <c r="BW39" i="83"/>
  <c r="BW45" i="83"/>
  <c r="BW63" i="83" s="1"/>
  <c r="BW44" i="83"/>
  <c r="BW60" i="83" s="1"/>
  <c r="BW40" i="83"/>
  <c r="BW38" i="83"/>
  <c r="BW43" i="83"/>
  <c r="BW59" i="83" s="1"/>
  <c r="BW37" i="83"/>
  <c r="BW35" i="83"/>
  <c r="BW34" i="83"/>
  <c r="BW36" i="83"/>
  <c r="BW28" i="83"/>
  <c r="BG46" i="83"/>
  <c r="BG62" i="83" s="1"/>
  <c r="BG41" i="83"/>
  <c r="BG39" i="83"/>
  <c r="BG45" i="83"/>
  <c r="BG63" i="83" s="1"/>
  <c r="BG44" i="83"/>
  <c r="BG60" i="83" s="1"/>
  <c r="BG40" i="83"/>
  <c r="BG38" i="83"/>
  <c r="BG43" i="83"/>
  <c r="BG59" i="83" s="1"/>
  <c r="BG37" i="83"/>
  <c r="BG35" i="83"/>
  <c r="BG34" i="83"/>
  <c r="BG36" i="83"/>
  <c r="BG28" i="83"/>
  <c r="AQ46" i="83"/>
  <c r="AQ62" i="83" s="1"/>
  <c r="AQ41" i="83"/>
  <c r="AQ39" i="83"/>
  <c r="AQ45" i="83"/>
  <c r="AQ63" i="83" s="1"/>
  <c r="AQ44" i="83"/>
  <c r="AQ60" i="83" s="1"/>
  <c r="AQ40" i="83"/>
  <c r="AQ38" i="83"/>
  <c r="AQ43" i="83"/>
  <c r="AQ59" i="83" s="1"/>
  <c r="AQ37" i="83"/>
  <c r="AQ35" i="83"/>
  <c r="AQ34" i="83"/>
  <c r="AQ36" i="83"/>
  <c r="AQ28" i="83"/>
  <c r="AA46" i="83"/>
  <c r="AA62" i="83" s="1"/>
  <c r="AA41" i="83"/>
  <c r="AA39" i="83"/>
  <c r="AA45" i="83"/>
  <c r="AA63" i="83" s="1"/>
  <c r="AA44" i="83"/>
  <c r="AA60" i="83" s="1"/>
  <c r="AA40" i="83"/>
  <c r="AA38" i="83"/>
  <c r="AA43" i="83"/>
  <c r="AA59" i="83" s="1"/>
  <c r="AA37" i="83"/>
  <c r="AA35" i="83"/>
  <c r="AA34" i="83"/>
  <c r="AA36" i="83"/>
  <c r="AA28" i="83"/>
  <c r="K41" i="83"/>
  <c r="K39" i="83"/>
  <c r="K45" i="83"/>
  <c r="K63" i="83" s="1"/>
  <c r="K46" i="83"/>
  <c r="K62" i="83" s="1"/>
  <c r="K44" i="83"/>
  <c r="K60" i="83" s="1"/>
  <c r="K40" i="83"/>
  <c r="K43" i="83"/>
  <c r="K59" i="83" s="1"/>
  <c r="K37" i="83"/>
  <c r="K35" i="83"/>
  <c r="K36" i="83"/>
  <c r="K38" i="83"/>
  <c r="BA65" i="83"/>
  <c r="AK65" i="83"/>
  <c r="U65" i="83"/>
  <c r="CL45" i="83"/>
  <c r="CL63" i="83" s="1"/>
  <c r="CL46" i="83"/>
  <c r="CL62" i="83" s="1"/>
  <c r="CL43" i="83"/>
  <c r="CL59" i="83" s="1"/>
  <c r="CL41" i="83"/>
  <c r="CL39" i="83"/>
  <c r="CL44" i="83"/>
  <c r="CL60" i="83" s="1"/>
  <c r="CL40" i="83"/>
  <c r="CL38" i="83"/>
  <c r="CL37" i="83"/>
  <c r="CL35" i="83"/>
  <c r="CL34" i="83"/>
  <c r="CL36" i="83"/>
  <c r="CL28" i="83"/>
  <c r="CL56" i="83" s="1"/>
  <c r="BV46" i="83"/>
  <c r="BV62" i="83" s="1"/>
  <c r="BV43" i="83"/>
  <c r="BV59" i="83" s="1"/>
  <c r="BV41" i="83"/>
  <c r="BV39" i="83"/>
  <c r="BV45" i="83"/>
  <c r="BV63" i="83" s="1"/>
  <c r="BV44" i="83"/>
  <c r="BV60" i="83" s="1"/>
  <c r="BV40" i="83"/>
  <c r="BV38" i="83"/>
  <c r="BV37" i="83"/>
  <c r="BV35" i="83"/>
  <c r="BV34" i="83"/>
  <c r="BV36" i="83"/>
  <c r="BV28" i="83"/>
  <c r="BV56" i="83" s="1"/>
  <c r="BF46" i="83"/>
  <c r="BF62" i="83" s="1"/>
  <c r="BF43" i="83"/>
  <c r="BF59" i="83" s="1"/>
  <c r="BF41" i="83"/>
  <c r="BF39" i="83"/>
  <c r="BF45" i="83"/>
  <c r="BF63" i="83" s="1"/>
  <c r="BF44" i="83"/>
  <c r="BF60" i="83" s="1"/>
  <c r="BF40" i="83"/>
  <c r="BF38" i="83"/>
  <c r="BF37" i="83"/>
  <c r="BF35" i="83"/>
  <c r="BF34" i="83"/>
  <c r="BF36" i="83"/>
  <c r="BF28" i="83"/>
  <c r="BF56" i="83" s="1"/>
  <c r="AP46" i="83"/>
  <c r="AP62" i="83" s="1"/>
  <c r="AP43" i="83"/>
  <c r="AP59" i="83" s="1"/>
  <c r="AP41" i="83"/>
  <c r="AP39" i="83"/>
  <c r="AP45" i="83"/>
  <c r="AP63" i="83" s="1"/>
  <c r="AP44" i="83"/>
  <c r="AP60" i="83" s="1"/>
  <c r="AP40" i="83"/>
  <c r="AP38" i="83"/>
  <c r="AP37" i="83"/>
  <c r="AP35" i="83"/>
  <c r="AP34" i="83"/>
  <c r="AP36" i="83"/>
  <c r="AP28" i="83"/>
  <c r="AP56" i="83" s="1"/>
  <c r="Z46" i="83"/>
  <c r="Z62" i="83" s="1"/>
  <c r="Z43" i="83"/>
  <c r="Z59" i="83" s="1"/>
  <c r="Z41" i="83"/>
  <c r="Z39" i="83"/>
  <c r="Z45" i="83"/>
  <c r="Z63" i="83" s="1"/>
  <c r="Z44" i="83"/>
  <c r="Z60" i="83" s="1"/>
  <c r="Z40" i="83"/>
  <c r="Z38" i="83"/>
  <c r="Z37" i="83"/>
  <c r="Z35" i="83"/>
  <c r="Z34" i="83"/>
  <c r="Z36" i="83"/>
  <c r="Z28" i="83"/>
  <c r="Z56" i="83" s="1"/>
  <c r="J46" i="83"/>
  <c r="J62" i="83" s="1"/>
  <c r="J43" i="83"/>
  <c r="J59" i="83" s="1"/>
  <c r="J45" i="83"/>
  <c r="J63" i="83" s="1"/>
  <c r="J44" i="83"/>
  <c r="J60" i="83" s="1"/>
  <c r="CC65" i="83"/>
  <c r="BU65" i="83"/>
  <c r="BQ46" i="83"/>
  <c r="BQ62" i="83" s="1"/>
  <c r="BQ44" i="83"/>
  <c r="BQ60" i="83" s="1"/>
  <c r="BQ40" i="83"/>
  <c r="BQ38" i="83"/>
  <c r="BQ43" i="83"/>
  <c r="BQ59" i="83" s="1"/>
  <c r="BQ41" i="83"/>
  <c r="BQ39" i="83"/>
  <c r="BQ45" i="83"/>
  <c r="BQ63" i="83" s="1"/>
  <c r="BQ36" i="83"/>
  <c r="BQ37" i="83"/>
  <c r="BQ35" i="83"/>
  <c r="BQ34" i="83"/>
  <c r="BQ28" i="83"/>
  <c r="BM46" i="83"/>
  <c r="BM62" i="83" s="1"/>
  <c r="BM44" i="83"/>
  <c r="BM60" i="83" s="1"/>
  <c r="BM40" i="83"/>
  <c r="BM38" i="83"/>
  <c r="BM43" i="83"/>
  <c r="BM59" i="83" s="1"/>
  <c r="BM41" i="83"/>
  <c r="BM39" i="83"/>
  <c r="BM45" i="83"/>
  <c r="BM63" i="83" s="1"/>
  <c r="BM36" i="83"/>
  <c r="BM37" i="83"/>
  <c r="BM35" i="83"/>
  <c r="BM34" i="83"/>
  <c r="BM28" i="83"/>
  <c r="BM56" i="83" s="1"/>
  <c r="Q46" i="83"/>
  <c r="Q62" i="83" s="1"/>
  <c r="Q44" i="83"/>
  <c r="Q60" i="83" s="1"/>
  <c r="Q40" i="83"/>
  <c r="Q38" i="83"/>
  <c r="Q43" i="83"/>
  <c r="Q59" i="83" s="1"/>
  <c r="Q41" i="83"/>
  <c r="Q39" i="83"/>
  <c r="Q45" i="83"/>
  <c r="Q63" i="83" s="1"/>
  <c r="Q36" i="83"/>
  <c r="Q37" i="83"/>
  <c r="Q35" i="83"/>
  <c r="CJ46" i="83"/>
  <c r="CJ62" i="83" s="1"/>
  <c r="CJ45" i="83"/>
  <c r="CJ63" i="83" s="1"/>
  <c r="CJ44" i="83"/>
  <c r="CJ60" i="83" s="1"/>
  <c r="CJ40" i="83"/>
  <c r="CJ38" i="83"/>
  <c r="CJ43" i="83"/>
  <c r="CJ59" i="83" s="1"/>
  <c r="CJ41" i="83"/>
  <c r="CJ39" i="83"/>
  <c r="CJ34" i="83"/>
  <c r="CJ36" i="83"/>
  <c r="CJ37" i="83"/>
  <c r="CJ35" i="83"/>
  <c r="CJ28" i="83"/>
  <c r="CJ56" i="83" s="1"/>
  <c r="BT46" i="83"/>
  <c r="BT62" i="83" s="1"/>
  <c r="BT45" i="83"/>
  <c r="BT63" i="83" s="1"/>
  <c r="BT44" i="83"/>
  <c r="BT60" i="83" s="1"/>
  <c r="BT40" i="83"/>
  <c r="BT38" i="83"/>
  <c r="BT43" i="83"/>
  <c r="BT59" i="83" s="1"/>
  <c r="BT41" i="83"/>
  <c r="BT39" i="83"/>
  <c r="BT34" i="83"/>
  <c r="BT36" i="83"/>
  <c r="BT37" i="83"/>
  <c r="BT35" i="83"/>
  <c r="BT28" i="83"/>
  <c r="BT56" i="83" s="1"/>
  <c r="BD46" i="83"/>
  <c r="BD62" i="83" s="1"/>
  <c r="BD45" i="83"/>
  <c r="BD63" i="83" s="1"/>
  <c r="BD44" i="83"/>
  <c r="BD60" i="83" s="1"/>
  <c r="BD40" i="83"/>
  <c r="BD38" i="83"/>
  <c r="BD43" i="83"/>
  <c r="BD59" i="83" s="1"/>
  <c r="BD41" i="83"/>
  <c r="BD39" i="83"/>
  <c r="BD34" i="83"/>
  <c r="BD36" i="83"/>
  <c r="BD37" i="83"/>
  <c r="BD35" i="83"/>
  <c r="BD28" i="83"/>
  <c r="BD56" i="83" s="1"/>
  <c r="AN46" i="83"/>
  <c r="AN62" i="83" s="1"/>
  <c r="AN45" i="83"/>
  <c r="AN63" i="83" s="1"/>
  <c r="AN44" i="83"/>
  <c r="AN60" i="83" s="1"/>
  <c r="AN40" i="83"/>
  <c r="AN38" i="83"/>
  <c r="AN43" i="83"/>
  <c r="AN59" i="83" s="1"/>
  <c r="AN41" i="83"/>
  <c r="AN39" i="83"/>
  <c r="AN34" i="83"/>
  <c r="AN36" i="83"/>
  <c r="AN37" i="83"/>
  <c r="AN35" i="83"/>
  <c r="AN28" i="83"/>
  <c r="AN56" i="83" s="1"/>
  <c r="X46" i="83"/>
  <c r="X62" i="83" s="1"/>
  <c r="X45" i="83"/>
  <c r="X63" i="83" s="1"/>
  <c r="X44" i="83"/>
  <c r="X60" i="83" s="1"/>
  <c r="X40" i="83"/>
  <c r="X38" i="83"/>
  <c r="X43" i="83"/>
  <c r="X59" i="83" s="1"/>
  <c r="X41" i="83"/>
  <c r="X39" i="83"/>
  <c r="X34" i="83"/>
  <c r="X36" i="83"/>
  <c r="X37" i="83"/>
  <c r="X35" i="83"/>
  <c r="X28" i="83"/>
  <c r="X56" i="83" s="1"/>
  <c r="H46" i="83"/>
  <c r="H62" i="83" s="1"/>
  <c r="H45" i="83"/>
  <c r="H63" i="83" s="1"/>
  <c r="H44" i="83"/>
  <c r="H60" i="83" s="1"/>
  <c r="H43" i="83"/>
  <c r="H59" i="83" s="1"/>
  <c r="H56" i="83"/>
  <c r="CI46" i="83"/>
  <c r="CI62" i="83" s="1"/>
  <c r="CI45" i="83"/>
  <c r="CI63" i="83" s="1"/>
  <c r="CI41" i="83"/>
  <c r="CI39" i="83"/>
  <c r="CI44" i="83"/>
  <c r="CI60" i="83" s="1"/>
  <c r="CI40" i="83"/>
  <c r="CI38" i="83"/>
  <c r="CI43" i="83"/>
  <c r="CI59" i="83" s="1"/>
  <c r="CI37" i="83"/>
  <c r="CI35" i="83"/>
  <c r="CI34" i="83"/>
  <c r="CI36" i="83"/>
  <c r="CI28" i="83"/>
  <c r="BS46" i="83"/>
  <c r="BS62" i="83" s="1"/>
  <c r="BS41" i="83"/>
  <c r="BS39" i="83"/>
  <c r="BS45" i="83"/>
  <c r="BS63" i="83" s="1"/>
  <c r="BS44" i="83"/>
  <c r="BS60" i="83" s="1"/>
  <c r="BS40" i="83"/>
  <c r="BS38" i="83"/>
  <c r="BS43" i="83"/>
  <c r="BS59" i="83" s="1"/>
  <c r="BS37" i="83"/>
  <c r="BS35" i="83"/>
  <c r="BS34" i="83"/>
  <c r="BS36" i="83"/>
  <c r="BS28" i="83"/>
  <c r="BC46" i="83"/>
  <c r="BC62" i="83" s="1"/>
  <c r="BC41" i="83"/>
  <c r="BC39" i="83"/>
  <c r="BC45" i="83"/>
  <c r="BC63" i="83" s="1"/>
  <c r="BC44" i="83"/>
  <c r="BC60" i="83" s="1"/>
  <c r="BC40" i="83"/>
  <c r="BC38" i="83"/>
  <c r="BC43" i="83"/>
  <c r="BC59" i="83" s="1"/>
  <c r="BC37" i="83"/>
  <c r="BC35" i="83"/>
  <c r="BC34" i="83"/>
  <c r="BC36" i="83"/>
  <c r="BC28" i="83"/>
  <c r="AM46" i="83"/>
  <c r="AM62" i="83" s="1"/>
  <c r="AM41" i="83"/>
  <c r="AM39" i="83"/>
  <c r="AM45" i="83"/>
  <c r="AM63" i="83" s="1"/>
  <c r="AM44" i="83"/>
  <c r="AM60" i="83" s="1"/>
  <c r="AM40" i="83"/>
  <c r="AM38" i="83"/>
  <c r="AM43" i="83"/>
  <c r="AM59" i="83" s="1"/>
  <c r="AM37" i="83"/>
  <c r="AM35" i="83"/>
  <c r="AM34" i="83"/>
  <c r="AM36" i="83"/>
  <c r="AM28" i="83"/>
  <c r="W46" i="83"/>
  <c r="W62" i="83" s="1"/>
  <c r="W41" i="83"/>
  <c r="W39" i="83"/>
  <c r="W45" i="83"/>
  <c r="W63" i="83" s="1"/>
  <c r="W44" i="83"/>
  <c r="W60" i="83" s="1"/>
  <c r="W40" i="83"/>
  <c r="W43" i="83"/>
  <c r="W59" i="83" s="1"/>
  <c r="W37" i="83"/>
  <c r="W35" i="83"/>
  <c r="W38" i="83"/>
  <c r="W34" i="83"/>
  <c r="W36" i="83"/>
  <c r="W28" i="83"/>
  <c r="CM24" i="83"/>
  <c r="AW65" i="83"/>
  <c r="AG65" i="83"/>
  <c r="Q65" i="83"/>
  <c r="CH45" i="83"/>
  <c r="CH63" i="83" s="1"/>
  <c r="CH46" i="83"/>
  <c r="CH62" i="83" s="1"/>
  <c r="CH43" i="83"/>
  <c r="CH59" i="83" s="1"/>
  <c r="CH41" i="83"/>
  <c r="CH39" i="83"/>
  <c r="CH44" i="83"/>
  <c r="CH60" i="83" s="1"/>
  <c r="CH40" i="83"/>
  <c r="CH38" i="83"/>
  <c r="CH37" i="83"/>
  <c r="CH35" i="83"/>
  <c r="CH34" i="83"/>
  <c r="CH36" i="83"/>
  <c r="CH28" i="83"/>
  <c r="BR46" i="83"/>
  <c r="BR62" i="83" s="1"/>
  <c r="BR43" i="83"/>
  <c r="BR59" i="83" s="1"/>
  <c r="BR41" i="83"/>
  <c r="BR39" i="83"/>
  <c r="BR45" i="83"/>
  <c r="BR63" i="83" s="1"/>
  <c r="BR44" i="83"/>
  <c r="BR60" i="83" s="1"/>
  <c r="BR40" i="83"/>
  <c r="BR38" i="83"/>
  <c r="BR37" i="83"/>
  <c r="BR35" i="83"/>
  <c r="BR34" i="83"/>
  <c r="BR36" i="83"/>
  <c r="BR28" i="83"/>
  <c r="BB46" i="83"/>
  <c r="BB62" i="83" s="1"/>
  <c r="BB43" i="83"/>
  <c r="BB59" i="83" s="1"/>
  <c r="BB41" i="83"/>
  <c r="BB39" i="83"/>
  <c r="BB45" i="83"/>
  <c r="BB63" i="83" s="1"/>
  <c r="BB44" i="83"/>
  <c r="BB60" i="83" s="1"/>
  <c r="BB40" i="83"/>
  <c r="BB38" i="83"/>
  <c r="BB37" i="83"/>
  <c r="BB35" i="83"/>
  <c r="BB34" i="83"/>
  <c r="BB36" i="83"/>
  <c r="BB28" i="83"/>
  <c r="AL46" i="83"/>
  <c r="AL62" i="83" s="1"/>
  <c r="AL43" i="83"/>
  <c r="AL59" i="83" s="1"/>
  <c r="AL41" i="83"/>
  <c r="AL39" i="83"/>
  <c r="AL45" i="83"/>
  <c r="AL63" i="83" s="1"/>
  <c r="AL44" i="83"/>
  <c r="AL60" i="83" s="1"/>
  <c r="AL40" i="83"/>
  <c r="AL38" i="83"/>
  <c r="AL37" i="83"/>
  <c r="AL35" i="83"/>
  <c r="AL34" i="83"/>
  <c r="AL36" i="83"/>
  <c r="AL28" i="83"/>
  <c r="V46" i="83"/>
  <c r="V62" i="83" s="1"/>
  <c r="V43" i="83"/>
  <c r="V59" i="83" s="1"/>
  <c r="V41" i="83"/>
  <c r="V39" i="83"/>
  <c r="V45" i="83"/>
  <c r="V63" i="83" s="1"/>
  <c r="V44" i="83"/>
  <c r="V60" i="83" s="1"/>
  <c r="V40" i="83"/>
  <c r="V38" i="83"/>
  <c r="V37" i="83"/>
  <c r="V35" i="83"/>
  <c r="V34" i="83"/>
  <c r="V36" i="83"/>
  <c r="V28" i="83"/>
  <c r="BQ65" i="83"/>
  <c r="BM65" i="83"/>
  <c r="N41" i="88" l="1"/>
  <c r="N62" i="88" s="1"/>
  <c r="N65" i="88" s="1"/>
  <c r="N67" i="88" s="1"/>
  <c r="N68" i="88" s="1"/>
  <c r="BZ41" i="88"/>
  <c r="BZ62" i="88" s="1"/>
  <c r="BZ65" i="88" s="1"/>
  <c r="BZ67" i="88" s="1"/>
  <c r="BZ68" i="88" s="1"/>
  <c r="BZ70" i="88" s="1"/>
  <c r="J41" i="88"/>
  <c r="J62" i="88" s="1"/>
  <c r="J65" i="88" s="1"/>
  <c r="J67" i="88" s="1"/>
  <c r="J68" i="88" s="1"/>
  <c r="J69" i="88" s="1"/>
  <c r="BV41" i="88"/>
  <c r="BV62" i="88" s="1"/>
  <c r="BV65" i="88" s="1"/>
  <c r="BV67" i="88" s="1"/>
  <c r="BV68" i="88" s="1"/>
  <c r="AT68" i="88"/>
  <c r="AT69" i="88" s="1"/>
  <c r="AD65" i="88"/>
  <c r="AD67" i="88" s="1"/>
  <c r="AD68" i="88" s="1"/>
  <c r="AD70" i="88" s="1"/>
  <c r="AQ55" i="88"/>
  <c r="AU55" i="88"/>
  <c r="AL55" i="88"/>
  <c r="AH55" i="88"/>
  <c r="AC55" i="88"/>
  <c r="AP68" i="88"/>
  <c r="AP69" i="88" s="1"/>
  <c r="BY55" i="88"/>
  <c r="AO55" i="88"/>
  <c r="AB55" i="88"/>
  <c r="CL68" i="88"/>
  <c r="CL69" i="88" s="1"/>
  <c r="BW55" i="88"/>
  <c r="AS55" i="88"/>
  <c r="L41" i="88"/>
  <c r="L62" i="88" s="1"/>
  <c r="AY55" i="88"/>
  <c r="CE55" i="88"/>
  <c r="CM33" i="88"/>
  <c r="AG55" i="88"/>
  <c r="BM55" i="88"/>
  <c r="AF41" i="88"/>
  <c r="AF62" i="88" s="1"/>
  <c r="BU55" i="88"/>
  <c r="BJ68" i="88"/>
  <c r="BJ69" i="88" s="1"/>
  <c r="BF68" i="88"/>
  <c r="BF69" i="88" s="1"/>
  <c r="AH41" i="88"/>
  <c r="AH62" i="88" s="1"/>
  <c r="BK55" i="88"/>
  <c r="BN55" i="88"/>
  <c r="AQ41" i="88"/>
  <c r="AQ62" i="88" s="1"/>
  <c r="BW41" i="88"/>
  <c r="BW62" i="88" s="1"/>
  <c r="AJ55" i="88"/>
  <c r="BP55" i="88"/>
  <c r="BL41" i="88"/>
  <c r="BL62" i="88" s="1"/>
  <c r="AX41" i="88"/>
  <c r="AX62" i="88" s="1"/>
  <c r="AX65" i="88" s="1"/>
  <c r="AX67" i="88" s="1"/>
  <c r="CH55" i="88"/>
  <c r="H41" i="88"/>
  <c r="H62" i="88" s="1"/>
  <c r="H65" i="88" s="1"/>
  <c r="H67" i="88" s="1"/>
  <c r="H68" i="88" s="1"/>
  <c r="O41" i="88"/>
  <c r="O62" i="88" s="1"/>
  <c r="CA41" i="88"/>
  <c r="CA62" i="88" s="1"/>
  <c r="CA65" i="88" s="1"/>
  <c r="CA67" i="88" s="1"/>
  <c r="BE41" i="88"/>
  <c r="BE62" i="88" s="1"/>
  <c r="BE65" i="88" s="1"/>
  <c r="BE67" i="88" s="1"/>
  <c r="Y55" i="88"/>
  <c r="S41" i="88"/>
  <c r="S62" i="88" s="1"/>
  <c r="BO41" i="88"/>
  <c r="BO62" i="88" s="1"/>
  <c r="BO65" i="88" s="1"/>
  <c r="BO67" i="88" s="1"/>
  <c r="BK41" i="88"/>
  <c r="BK62" i="88" s="1"/>
  <c r="BK65" i="88" s="1"/>
  <c r="BK67" i="88" s="1"/>
  <c r="BK68" i="88" s="1"/>
  <c r="BK69" i="88" s="1"/>
  <c r="AM41" i="88"/>
  <c r="AM62" i="88" s="1"/>
  <c r="AM65" i="88" s="1"/>
  <c r="AM67" i="88" s="1"/>
  <c r="BC41" i="88"/>
  <c r="BC62" i="88" s="1"/>
  <c r="AX55" i="88"/>
  <c r="V55" i="88"/>
  <c r="BB41" i="88"/>
  <c r="BB62" i="88" s="1"/>
  <c r="AV55" i="88"/>
  <c r="Z68" i="88"/>
  <c r="Z69" i="88" s="1"/>
  <c r="BA55" i="88"/>
  <c r="CF42" i="83"/>
  <c r="CF61" i="83" s="1"/>
  <c r="BV42" i="83"/>
  <c r="BV61" i="83" s="1"/>
  <c r="AP42" i="83"/>
  <c r="AP61" i="83" s="1"/>
  <c r="J42" i="83"/>
  <c r="J61" i="83" s="1"/>
  <c r="U41" i="88"/>
  <c r="U62" i="88" s="1"/>
  <c r="U65" i="88" s="1"/>
  <c r="U67" i="88" s="1"/>
  <c r="BA41" i="88"/>
  <c r="BA62" i="88" s="1"/>
  <c r="BA65" i="88" s="1"/>
  <c r="BA67" i="88" s="1"/>
  <c r="CG41" i="88"/>
  <c r="CG62" i="88" s="1"/>
  <c r="CG65" i="88" s="1"/>
  <c r="CG67" i="88" s="1"/>
  <c r="Y41" i="88"/>
  <c r="Y62" i="88" s="1"/>
  <c r="AH65" i="88"/>
  <c r="AH67" i="88" s="1"/>
  <c r="T41" i="88"/>
  <c r="T62" i="88" s="1"/>
  <c r="T65" i="88" s="1"/>
  <c r="T67" i="88" s="1"/>
  <c r="CM27" i="88"/>
  <c r="AZ41" i="88"/>
  <c r="AZ62" i="88" s="1"/>
  <c r="AZ65" i="88" s="1"/>
  <c r="AZ67" i="88" s="1"/>
  <c r="CF41" i="88"/>
  <c r="CF62" i="88" s="1"/>
  <c r="AC41" i="88"/>
  <c r="AC62" i="88" s="1"/>
  <c r="BI55" i="88"/>
  <c r="BI41" i="88"/>
  <c r="BI62" i="88" s="1"/>
  <c r="BI65" i="88" s="1"/>
  <c r="BI67" i="88" s="1"/>
  <c r="AO41" i="88"/>
  <c r="AO62" i="88" s="1"/>
  <c r="AO65" i="88" s="1"/>
  <c r="AO67" i="88" s="1"/>
  <c r="AO68" i="88" s="1"/>
  <c r="CK55" i="88"/>
  <c r="V41" i="88"/>
  <c r="V62" i="88" s="1"/>
  <c r="V65" i="88" s="1"/>
  <c r="V67" i="88" s="1"/>
  <c r="AM55" i="88"/>
  <c r="BS41" i="88"/>
  <c r="BS62" i="88" s="1"/>
  <c r="BS55" i="88"/>
  <c r="T28" i="88"/>
  <c r="CM28" i="88" s="1"/>
  <c r="X41" i="88"/>
  <c r="X62" i="88" s="1"/>
  <c r="X65" i="88" s="1"/>
  <c r="X67" i="88" s="1"/>
  <c r="AN55" i="88"/>
  <c r="BD41" i="88"/>
  <c r="BD62" i="88" s="1"/>
  <c r="BD65" i="88" s="1"/>
  <c r="BD67" i="88" s="1"/>
  <c r="BT55" i="88"/>
  <c r="CJ41" i="88"/>
  <c r="CJ62" i="88" s="1"/>
  <c r="CJ65" i="88" s="1"/>
  <c r="CJ67" i="88" s="1"/>
  <c r="Q41" i="88"/>
  <c r="Q62" i="88" s="1"/>
  <c r="Q65" i="88" s="1"/>
  <c r="Q67" i="88" s="1"/>
  <c r="Q68" i="88" s="1"/>
  <c r="AW41" i="88"/>
  <c r="AW62" i="88" s="1"/>
  <c r="AW65" i="88" s="1"/>
  <c r="AW67" i="88" s="1"/>
  <c r="CC41" i="88"/>
  <c r="CC62" i="88" s="1"/>
  <c r="CC65" i="88" s="1"/>
  <c r="CC67" i="88" s="1"/>
  <c r="CD41" i="88"/>
  <c r="CD62" i="88" s="1"/>
  <c r="CD65" i="88" s="1"/>
  <c r="CD67" i="88" s="1"/>
  <c r="BB55" i="88"/>
  <c r="BB65" i="88"/>
  <c r="BB67" i="88" s="1"/>
  <c r="CA55" i="88"/>
  <c r="AL41" i="88"/>
  <c r="AL62" i="88" s="1"/>
  <c r="AL65" i="88" s="1"/>
  <c r="AL67" i="88" s="1"/>
  <c r="AA55" i="88"/>
  <c r="AQ65" i="88"/>
  <c r="AQ67" i="88" s="1"/>
  <c r="BG55" i="88"/>
  <c r="BW65" i="88"/>
  <c r="BW67" i="88" s="1"/>
  <c r="AB41" i="88"/>
  <c r="AB62" i="88" s="1"/>
  <c r="AB65" i="88" s="1"/>
  <c r="AB67" i="88" s="1"/>
  <c r="AR55" i="88"/>
  <c r="BH41" i="88"/>
  <c r="BH62" i="88" s="1"/>
  <c r="BH65" i="88" s="1"/>
  <c r="BH67" i="88" s="1"/>
  <c r="BX55" i="88"/>
  <c r="U55" i="88"/>
  <c r="CG55" i="88"/>
  <c r="CB55" i="88"/>
  <c r="Y65" i="88"/>
  <c r="Y67" i="88" s="1"/>
  <c r="CF65" i="88"/>
  <c r="CF67" i="88" s="1"/>
  <c r="AC65" i="88"/>
  <c r="AC67" i="88" s="1"/>
  <c r="BR41" i="88"/>
  <c r="BR62" i="88" s="1"/>
  <c r="BR65" i="88" s="1"/>
  <c r="BR67" i="88" s="1"/>
  <c r="AY41" i="88"/>
  <c r="AY62" i="88" s="1"/>
  <c r="AY65" i="88" s="1"/>
  <c r="AY67" i="88" s="1"/>
  <c r="CE41" i="88"/>
  <c r="CE62" i="88" s="1"/>
  <c r="CE65" i="88" s="1"/>
  <c r="CE67" i="88" s="1"/>
  <c r="CE68" i="88" s="1"/>
  <c r="R41" i="88"/>
  <c r="R62" i="88" s="1"/>
  <c r="AE41" i="88"/>
  <c r="AE62" i="88" s="1"/>
  <c r="AE65" i="88" s="1"/>
  <c r="AE67" i="88" s="1"/>
  <c r="CK41" i="88"/>
  <c r="CK62" i="88" s="1"/>
  <c r="CK65" i="88" s="1"/>
  <c r="CK67" i="88" s="1"/>
  <c r="BC55" i="88"/>
  <c r="BS65" i="88"/>
  <c r="BS67" i="88" s="1"/>
  <c r="CI41" i="88"/>
  <c r="CI62" i="88" s="1"/>
  <c r="CI65" i="88" s="1"/>
  <c r="CI67" i="88" s="1"/>
  <c r="AT70" i="88"/>
  <c r="CC55" i="88"/>
  <c r="CD55" i="88"/>
  <c r="O65" i="88"/>
  <c r="O67" i="88" s="1"/>
  <c r="O68" i="88" s="1"/>
  <c r="I41" i="88"/>
  <c r="I62" i="88" s="1"/>
  <c r="I65" i="88" s="1"/>
  <c r="I67" i="88" s="1"/>
  <c r="I68" i="88" s="1"/>
  <c r="BE55" i="88"/>
  <c r="BN41" i="88"/>
  <c r="BN62" i="88" s="1"/>
  <c r="BN65" i="88" s="1"/>
  <c r="BN67" i="88" s="1"/>
  <c r="AA41" i="88"/>
  <c r="AA62" i="88" s="1"/>
  <c r="AA65" i="88" s="1"/>
  <c r="AA67" i="88" s="1"/>
  <c r="BG41" i="88"/>
  <c r="BG62" i="88" s="1"/>
  <c r="BG65" i="88" s="1"/>
  <c r="BG67" i="88" s="1"/>
  <c r="BH55" i="88"/>
  <c r="AK41" i="88"/>
  <c r="AK62" i="88" s="1"/>
  <c r="AK65" i="88" s="1"/>
  <c r="AK67" i="88" s="1"/>
  <c r="BQ41" i="88"/>
  <c r="BQ62" i="88" s="1"/>
  <c r="BQ65" i="88" s="1"/>
  <c r="BQ67" i="88" s="1"/>
  <c r="AU41" i="88"/>
  <c r="AU62" i="88" s="1"/>
  <c r="AU65" i="88" s="1"/>
  <c r="AU67" i="88" s="1"/>
  <c r="AF55" i="88"/>
  <c r="CB41" i="88"/>
  <c r="CB62" i="88" s="1"/>
  <c r="CB65" i="88" s="1"/>
  <c r="CB67" i="88" s="1"/>
  <c r="BU41" i="88"/>
  <c r="BU62" i="88" s="1"/>
  <c r="BU65" i="88" s="1"/>
  <c r="BU67" i="88" s="1"/>
  <c r="BU68" i="88" s="1"/>
  <c r="AI41" i="88"/>
  <c r="AI62" i="88" s="1"/>
  <c r="AI65" i="88" s="1"/>
  <c r="AI67" i="88" s="1"/>
  <c r="BC65" i="88"/>
  <c r="BC67" i="88" s="1"/>
  <c r="BR55" i="88"/>
  <c r="S65" i="88"/>
  <c r="S67" i="88" s="1"/>
  <c r="S68" i="88" s="1"/>
  <c r="AI55" i="88"/>
  <c r="BO55" i="88"/>
  <c r="T55" i="88"/>
  <c r="AJ41" i="88"/>
  <c r="AJ62" i="88" s="1"/>
  <c r="AJ65" i="88" s="1"/>
  <c r="AJ67" i="88" s="1"/>
  <c r="AZ55" i="88"/>
  <c r="BP41" i="88"/>
  <c r="BP62" i="88" s="1"/>
  <c r="BP65" i="88" s="1"/>
  <c r="BP67" i="88" s="1"/>
  <c r="CF55" i="88"/>
  <c r="M41" i="88"/>
  <c r="M62" i="88" s="1"/>
  <c r="M65" i="88" s="1"/>
  <c r="M67" i="88" s="1"/>
  <c r="M68" i="88" s="1"/>
  <c r="AS41" i="88"/>
  <c r="AS62" i="88" s="1"/>
  <c r="AS65" i="88" s="1"/>
  <c r="AS67" i="88" s="1"/>
  <c r="BY41" i="88"/>
  <c r="BY62" i="88" s="1"/>
  <c r="BY65" i="88" s="1"/>
  <c r="BY67" i="88" s="1"/>
  <c r="R65" i="88"/>
  <c r="R67" i="88" s="1"/>
  <c r="R68" i="88" s="1"/>
  <c r="AE55" i="88"/>
  <c r="P41" i="88"/>
  <c r="P62" i="88" s="1"/>
  <c r="P65" i="88" s="1"/>
  <c r="P67" i="88" s="1"/>
  <c r="P68" i="88" s="1"/>
  <c r="BL55" i="88"/>
  <c r="BL65" i="88"/>
  <c r="BL67" i="88" s="1"/>
  <c r="CH41" i="88"/>
  <c r="CH62" i="88" s="1"/>
  <c r="CH65" i="88" s="1"/>
  <c r="CH67" i="88" s="1"/>
  <c r="W41" i="88"/>
  <c r="W62" i="88" s="1"/>
  <c r="W65" i="88" s="1"/>
  <c r="W67" i="88" s="1"/>
  <c r="W55" i="88"/>
  <c r="CI55" i="88"/>
  <c r="X55" i="88"/>
  <c r="AN41" i="88"/>
  <c r="AN62" i="88" s="1"/>
  <c r="AN65" i="88" s="1"/>
  <c r="AN67" i="88" s="1"/>
  <c r="BD55" i="88"/>
  <c r="BT41" i="88"/>
  <c r="BT62" i="88" s="1"/>
  <c r="BT65" i="88" s="1"/>
  <c r="BT67" i="88" s="1"/>
  <c r="CJ55" i="88"/>
  <c r="AG41" i="88"/>
  <c r="AG62" i="88" s="1"/>
  <c r="AG65" i="88" s="1"/>
  <c r="AG67" i="88" s="1"/>
  <c r="AW55" i="88"/>
  <c r="BM41" i="88"/>
  <c r="BM62" i="88" s="1"/>
  <c r="BM65" i="88" s="1"/>
  <c r="BM67" i="88" s="1"/>
  <c r="AV41" i="88"/>
  <c r="AV62" i="88" s="1"/>
  <c r="AV65" i="88" s="1"/>
  <c r="AV67" i="88" s="1"/>
  <c r="K41" i="88"/>
  <c r="K62" i="88" s="1"/>
  <c r="K65" i="88" s="1"/>
  <c r="K67" i="88" s="1"/>
  <c r="K68" i="88" s="1"/>
  <c r="L65" i="88"/>
  <c r="L67" i="88" s="1"/>
  <c r="L68" i="88" s="1"/>
  <c r="AR41" i="88"/>
  <c r="AR62" i="88" s="1"/>
  <c r="AR65" i="88" s="1"/>
  <c r="AR67" i="88" s="1"/>
  <c r="BX41" i="88"/>
  <c r="BX62" i="88" s="1"/>
  <c r="BX65" i="88" s="1"/>
  <c r="BX67" i="88" s="1"/>
  <c r="AK55" i="88"/>
  <c r="BQ55" i="88"/>
  <c r="AF65" i="88"/>
  <c r="AF67" i="88" s="1"/>
  <c r="AZ42" i="83"/>
  <c r="AZ61" i="83" s="1"/>
  <c r="T42" i="83"/>
  <c r="T61" i="83" s="1"/>
  <c r="AF42" i="83"/>
  <c r="AF61" i="83" s="1"/>
  <c r="BL42" i="83"/>
  <c r="BL61" i="83" s="1"/>
  <c r="BL64" i="83" s="1"/>
  <c r="BL66" i="83" s="1"/>
  <c r="S42" i="83"/>
  <c r="S61" i="83" s="1"/>
  <c r="S64" i="83" s="1"/>
  <c r="S66" i="83" s="1"/>
  <c r="CM40" i="83"/>
  <c r="V56" i="83"/>
  <c r="BB56" i="83"/>
  <c r="CH56" i="83"/>
  <c r="W56" i="83"/>
  <c r="BC56" i="83"/>
  <c r="AA56" i="83"/>
  <c r="AA42" i="83"/>
  <c r="AA61" i="83" s="1"/>
  <c r="AA64" i="83" s="1"/>
  <c r="AA66" i="83" s="1"/>
  <c r="BG56" i="83"/>
  <c r="BG42" i="83"/>
  <c r="BG61" i="83" s="1"/>
  <c r="AB42" i="83"/>
  <c r="AB61" i="83" s="1"/>
  <c r="AR56" i="83"/>
  <c r="BH42" i="83"/>
  <c r="BH61" i="83" s="1"/>
  <c r="BX56" i="83"/>
  <c r="AI56" i="83"/>
  <c r="BO56" i="83"/>
  <c r="X42" i="83"/>
  <c r="X61" i="83" s="1"/>
  <c r="BD42" i="83"/>
  <c r="BD61" i="83" s="1"/>
  <c r="BD64" i="83" s="1"/>
  <c r="BD66" i="83" s="1"/>
  <c r="CJ42" i="83"/>
  <c r="CJ61" i="83" s="1"/>
  <c r="CJ64" i="83" s="1"/>
  <c r="CJ66" i="83" s="1"/>
  <c r="AL56" i="83"/>
  <c r="AL42" i="83"/>
  <c r="AL61" i="83" s="1"/>
  <c r="BR56" i="83"/>
  <c r="BR42" i="83"/>
  <c r="BR61" i="83" s="1"/>
  <c r="BR64" i="83" s="1"/>
  <c r="BR66" i="83" s="1"/>
  <c r="BM42" i="83"/>
  <c r="BM61" i="83" s="1"/>
  <c r="BM64" i="83" s="1"/>
  <c r="BM66" i="83" s="1"/>
  <c r="AQ56" i="83"/>
  <c r="BW56" i="83"/>
  <c r="O42" i="83"/>
  <c r="O61" i="83" s="1"/>
  <c r="CA56" i="83"/>
  <c r="BA42" i="83"/>
  <c r="BA61" i="83" s="1"/>
  <c r="AX56" i="83"/>
  <c r="CD56" i="83"/>
  <c r="M42" i="83"/>
  <c r="M61" i="83" s="1"/>
  <c r="M64" i="83" s="1"/>
  <c r="M66" i="83" s="1"/>
  <c r="AS42" i="83"/>
  <c r="AS61" i="83" s="1"/>
  <c r="AW56" i="83"/>
  <c r="CM41" i="83"/>
  <c r="CM60" i="83"/>
  <c r="CM44" i="83"/>
  <c r="V42" i="83"/>
  <c r="V61" i="83" s="1"/>
  <c r="V64" i="83" s="1"/>
  <c r="V66" i="83" s="1"/>
  <c r="BB42" i="83"/>
  <c r="BB61" i="83" s="1"/>
  <c r="BB64" i="83" s="1"/>
  <c r="BB66" i="83" s="1"/>
  <c r="CH42" i="83"/>
  <c r="CH61" i="83" s="1"/>
  <c r="CH64" i="83" s="1"/>
  <c r="CH66" i="83" s="1"/>
  <c r="CM36" i="83"/>
  <c r="CM43" i="83"/>
  <c r="CM63" i="83"/>
  <c r="CM45" i="83"/>
  <c r="W42" i="83"/>
  <c r="W61" i="83" s="1"/>
  <c r="W64" i="83" s="1"/>
  <c r="W66" i="83" s="1"/>
  <c r="CI56" i="83"/>
  <c r="X64" i="83"/>
  <c r="X66" i="83" s="1"/>
  <c r="AN42" i="83"/>
  <c r="AN61" i="83" s="1"/>
  <c r="AN64" i="83" s="1"/>
  <c r="AN66" i="83" s="1"/>
  <c r="BT42" i="83"/>
  <c r="BT61" i="83" s="1"/>
  <c r="Q42" i="83"/>
  <c r="Q61" i="83" s="1"/>
  <c r="BQ42" i="83"/>
  <c r="BQ61" i="83" s="1"/>
  <c r="BQ64" i="83" s="1"/>
  <c r="BQ66" i="83" s="1"/>
  <c r="Z42" i="83"/>
  <c r="Z61" i="83" s="1"/>
  <c r="Z64" i="83" s="1"/>
  <c r="Z66" i="83" s="1"/>
  <c r="BF42" i="83"/>
  <c r="BF61" i="83" s="1"/>
  <c r="BF64" i="83" s="1"/>
  <c r="BF66" i="83" s="1"/>
  <c r="CL42" i="83"/>
  <c r="CL61" i="83" s="1"/>
  <c r="AQ42" i="83"/>
  <c r="AQ61" i="83" s="1"/>
  <c r="AQ64" i="83" s="1"/>
  <c r="AQ66" i="83" s="1"/>
  <c r="BG64" i="83"/>
  <c r="BG66" i="83" s="1"/>
  <c r="BW42" i="83"/>
  <c r="BW61" i="83" s="1"/>
  <c r="AB56" i="83"/>
  <c r="AB64" i="83"/>
  <c r="AB66" i="83" s="1"/>
  <c r="AR42" i="83"/>
  <c r="AR61" i="83" s="1"/>
  <c r="AR64" i="83" s="1"/>
  <c r="AR66" i="83" s="1"/>
  <c r="BH56" i="83"/>
  <c r="BH64" i="83"/>
  <c r="BH66" i="83" s="1"/>
  <c r="BX42" i="83"/>
  <c r="BX61" i="83" s="1"/>
  <c r="BX64" i="83" s="1"/>
  <c r="BX66" i="83" s="1"/>
  <c r="U42" i="83"/>
  <c r="U61" i="83" s="1"/>
  <c r="U64" i="83" s="1"/>
  <c r="U66" i="83" s="1"/>
  <c r="O64" i="83"/>
  <c r="O66" i="83" s="1"/>
  <c r="AF64" i="83"/>
  <c r="AF66" i="83" s="1"/>
  <c r="AV42" i="83"/>
  <c r="AV61" i="83" s="1"/>
  <c r="AV64" i="83" s="1"/>
  <c r="AV66" i="83" s="1"/>
  <c r="CB42" i="83"/>
  <c r="CB61" i="83" s="1"/>
  <c r="CB64" i="83" s="1"/>
  <c r="CB66" i="83" s="1"/>
  <c r="I42" i="83"/>
  <c r="I61" i="83" s="1"/>
  <c r="AO42" i="83"/>
  <c r="AO61" i="83" s="1"/>
  <c r="BU42" i="83"/>
  <c r="BU61" i="83" s="1"/>
  <c r="BU64" i="83" s="1"/>
  <c r="BU66" i="83" s="1"/>
  <c r="AG42" i="83"/>
  <c r="AG61" i="83" s="1"/>
  <c r="AG64" i="83" s="1"/>
  <c r="AG66" i="83" s="1"/>
  <c r="BA64" i="83"/>
  <c r="BA66" i="83" s="1"/>
  <c r="R42" i="83"/>
  <c r="R61" i="83" s="1"/>
  <c r="R64" i="83" s="1"/>
  <c r="R66" i="83" s="1"/>
  <c r="AX42" i="83"/>
  <c r="AX61" i="83" s="1"/>
  <c r="AX64" i="83" s="1"/>
  <c r="AX66" i="83" s="1"/>
  <c r="CD42" i="83"/>
  <c r="CD61" i="83" s="1"/>
  <c r="CD64" i="83" s="1"/>
  <c r="CD66" i="83" s="1"/>
  <c r="AI42" i="83"/>
  <c r="AI61" i="83" s="1"/>
  <c r="BO42" i="83"/>
  <c r="BO61" i="83" s="1"/>
  <c r="BO64" i="83" s="1"/>
  <c r="BO66" i="83" s="1"/>
  <c r="AC42" i="83"/>
  <c r="AC61" i="83" s="1"/>
  <c r="AC64" i="83" s="1"/>
  <c r="AC66" i="83" s="1"/>
  <c r="AS64" i="83"/>
  <c r="AS66" i="83" s="1"/>
  <c r="BI42" i="83"/>
  <c r="BI61" i="83" s="1"/>
  <c r="AL64" i="83"/>
  <c r="AL66" i="83" s="1"/>
  <c r="CM35" i="83"/>
  <c r="CM37" i="83"/>
  <c r="BC42" i="83"/>
  <c r="BC61" i="83" s="1"/>
  <c r="BC64" i="83" s="1"/>
  <c r="BC66" i="83" s="1"/>
  <c r="CI42" i="83"/>
  <c r="CI61" i="83" s="1"/>
  <c r="CI64" i="83" s="1"/>
  <c r="CI66" i="83" s="1"/>
  <c r="CM38" i="83"/>
  <c r="CM62" i="83"/>
  <c r="CM46" i="83"/>
  <c r="CM39" i="83"/>
  <c r="AM56" i="83"/>
  <c r="AM42" i="83"/>
  <c r="AM61" i="83" s="1"/>
  <c r="AM64" i="83" s="1"/>
  <c r="AM66" i="83" s="1"/>
  <c r="BS56" i="83"/>
  <c r="BS42" i="83"/>
  <c r="BS61" i="83" s="1"/>
  <c r="BS64" i="83" s="1"/>
  <c r="BS66" i="83" s="1"/>
  <c r="H42" i="83"/>
  <c r="H61" i="83" s="1"/>
  <c r="H64" i="83" s="1"/>
  <c r="H66" i="83" s="1"/>
  <c r="BQ56" i="83"/>
  <c r="K42" i="83"/>
  <c r="K61" i="83" s="1"/>
  <c r="K64" i="83" s="1"/>
  <c r="K66" i="83" s="1"/>
  <c r="L42" i="83"/>
  <c r="L61" i="83" s="1"/>
  <c r="L64" i="83" s="1"/>
  <c r="L66" i="83" s="1"/>
  <c r="CM65" i="83"/>
  <c r="U56" i="83"/>
  <c r="CG42" i="83"/>
  <c r="CG61" i="83" s="1"/>
  <c r="CG64" i="83" s="1"/>
  <c r="CG66" i="83" s="1"/>
  <c r="N42" i="83"/>
  <c r="N61" i="83" s="1"/>
  <c r="N64" i="83" s="1"/>
  <c r="N66" i="83" s="1"/>
  <c r="AT56" i="83"/>
  <c r="AT42" i="83"/>
  <c r="AT61" i="83" s="1"/>
  <c r="AT64" i="83" s="1"/>
  <c r="AT66" i="83" s="1"/>
  <c r="BZ56" i="83"/>
  <c r="BZ42" i="83"/>
  <c r="BZ61" i="83" s="1"/>
  <c r="BZ64" i="83" s="1"/>
  <c r="BZ66" i="83" s="1"/>
  <c r="AU56" i="83"/>
  <c r="AU42" i="83"/>
  <c r="AU61" i="83" s="1"/>
  <c r="AU64" i="83" s="1"/>
  <c r="AU66" i="83" s="1"/>
  <c r="CA42" i="83"/>
  <c r="CA61" i="83" s="1"/>
  <c r="P42" i="83"/>
  <c r="P61" i="83" s="1"/>
  <c r="P64" i="83" s="1"/>
  <c r="P66" i="83" s="1"/>
  <c r="AO56" i="83"/>
  <c r="BU56" i="83"/>
  <c r="CK42" i="83"/>
  <c r="CK61" i="83" s="1"/>
  <c r="CK64" i="83" s="1"/>
  <c r="CK66" i="83" s="1"/>
  <c r="AG56" i="83"/>
  <c r="T56" i="83"/>
  <c r="AJ42" i="83"/>
  <c r="AJ61" i="83" s="1"/>
  <c r="AJ64" i="83" s="1"/>
  <c r="AJ66" i="83" s="1"/>
  <c r="AZ56" i="83"/>
  <c r="AZ64" i="83"/>
  <c r="AZ66" i="83" s="1"/>
  <c r="BP42" i="83"/>
  <c r="BP61" i="83" s="1"/>
  <c r="BP64" i="83" s="1"/>
  <c r="BP66" i="83" s="1"/>
  <c r="CF56" i="83"/>
  <c r="AC56" i="83"/>
  <c r="BI56" i="83"/>
  <c r="BY42" i="83"/>
  <c r="BY61" i="83" s="1"/>
  <c r="BY64" i="83" s="1"/>
  <c r="BY66" i="83" s="1"/>
  <c r="AW42" i="83"/>
  <c r="AW61" i="83" s="1"/>
  <c r="AW64" i="83" s="1"/>
  <c r="AW66" i="83" s="1"/>
  <c r="AK42" i="83"/>
  <c r="AK61" i="83" s="1"/>
  <c r="AK64" i="83" s="1"/>
  <c r="AK66" i="83" s="1"/>
  <c r="BT64" i="83"/>
  <c r="BT66" i="83" s="1"/>
  <c r="Q64" i="83"/>
  <c r="Q66" i="83" s="1"/>
  <c r="J64" i="83"/>
  <c r="J66" i="83" s="1"/>
  <c r="AP64" i="83"/>
  <c r="AP66" i="83" s="1"/>
  <c r="BV64" i="83"/>
  <c r="BV66" i="83" s="1"/>
  <c r="BW64" i="83"/>
  <c r="BW66" i="83" s="1"/>
  <c r="Y42" i="83"/>
  <c r="Y61" i="83" s="1"/>
  <c r="Y64" i="83" s="1"/>
  <c r="Y66" i="83" s="1"/>
  <c r="AO64" i="83"/>
  <c r="AO66" i="83" s="1"/>
  <c r="BE42" i="83"/>
  <c r="BE61" i="83" s="1"/>
  <c r="BE64" i="83" s="1"/>
  <c r="BE66" i="83" s="1"/>
  <c r="AH56" i="83"/>
  <c r="AH42" i="83"/>
  <c r="AH61" i="83" s="1"/>
  <c r="AH64" i="83" s="1"/>
  <c r="AH66" i="83" s="1"/>
  <c r="BN56" i="83"/>
  <c r="BN42" i="83"/>
  <c r="BN61" i="83" s="1"/>
  <c r="BN64" i="83" s="1"/>
  <c r="BN66" i="83" s="1"/>
  <c r="AI64" i="83"/>
  <c r="AI66" i="83" s="1"/>
  <c r="AY56" i="83"/>
  <c r="AY42" i="83"/>
  <c r="AY61" i="83" s="1"/>
  <c r="AY64" i="83" s="1"/>
  <c r="AY66" i="83" s="1"/>
  <c r="CE56" i="83"/>
  <c r="CE42" i="83"/>
  <c r="CE61" i="83" s="1"/>
  <c r="CE64" i="83" s="1"/>
  <c r="CE66" i="83" s="1"/>
  <c r="CM28" i="83"/>
  <c r="T64" i="83"/>
  <c r="T66" i="83" s="1"/>
  <c r="CF64" i="83"/>
  <c r="CF66" i="83" s="1"/>
  <c r="BI64" i="83"/>
  <c r="BI66" i="83" s="1"/>
  <c r="CC42" i="83"/>
  <c r="CC61" i="83" s="1"/>
  <c r="CC64" i="83" s="1"/>
  <c r="CC66" i="83" s="1"/>
  <c r="AK56" i="83"/>
  <c r="CL64" i="83"/>
  <c r="CL66" i="83" s="1"/>
  <c r="AD42" i="83"/>
  <c r="AD61" i="83" s="1"/>
  <c r="AD64" i="83" s="1"/>
  <c r="AD66" i="83" s="1"/>
  <c r="BJ42" i="83"/>
  <c r="BJ61" i="83" s="1"/>
  <c r="BJ64" i="83" s="1"/>
  <c r="BJ66" i="83" s="1"/>
  <c r="AE42" i="83"/>
  <c r="AE61" i="83" s="1"/>
  <c r="AE64" i="83" s="1"/>
  <c r="AE66" i="83" s="1"/>
  <c r="BK42" i="83"/>
  <c r="BK61" i="83" s="1"/>
  <c r="BK64" i="83" s="1"/>
  <c r="BK66" i="83" s="1"/>
  <c r="CA64" i="83"/>
  <c r="CA66" i="83" s="1"/>
  <c r="I64" i="83"/>
  <c r="I66" i="83" s="1"/>
  <c r="CM34" i="83"/>
  <c r="BV70" i="88" l="1"/>
  <c r="BV69" i="88"/>
  <c r="AD69" i="88"/>
  <c r="J70" i="88"/>
  <c r="AB68" i="88"/>
  <c r="AB69" i="88" s="1"/>
  <c r="AU68" i="88"/>
  <c r="BG68" i="88"/>
  <c r="AC68" i="88"/>
  <c r="AC69" i="88" s="1"/>
  <c r="BI68" i="88"/>
  <c r="BI69" i="88" s="1"/>
  <c r="AH68" i="88"/>
  <c r="AH69" i="88" s="1"/>
  <c r="AV68" i="88"/>
  <c r="AV69" i="88" s="1"/>
  <c r="AL68" i="88"/>
  <c r="AL70" i="88" s="1"/>
  <c r="CL70" i="88"/>
  <c r="AG68" i="88"/>
  <c r="AG69" i="88" s="1"/>
  <c r="BW68" i="88"/>
  <c r="AP70" i="88"/>
  <c r="BZ69" i="88"/>
  <c r="BX68" i="88"/>
  <c r="BC68" i="88"/>
  <c r="BA68" i="88"/>
  <c r="BA69" i="88" s="1"/>
  <c r="AQ68" i="88"/>
  <c r="AQ69" i="88" s="1"/>
  <c r="BT68" i="88"/>
  <c r="BT70" i="88" s="1"/>
  <c r="BL68" i="88"/>
  <c r="BY68" i="88"/>
  <c r="BY69" i="88" s="1"/>
  <c r="BJ70" i="88"/>
  <c r="AS68" i="88"/>
  <c r="AS69" i="88" s="1"/>
  <c r="AA68" i="88"/>
  <c r="AA69" i="88" s="1"/>
  <c r="CI68" i="88"/>
  <c r="CI70" i="88" s="1"/>
  <c r="AM68" i="88"/>
  <c r="AM69" i="88" s="1"/>
  <c r="BP68" i="88"/>
  <c r="BP69" i="88" s="1"/>
  <c r="CB68" i="88"/>
  <c r="CB69" i="88" s="1"/>
  <c r="BM68" i="88"/>
  <c r="BM70" i="88" s="1"/>
  <c r="CK68" i="88"/>
  <c r="CK69" i="88" s="1"/>
  <c r="BQ68" i="88"/>
  <c r="BQ69" i="88" s="1"/>
  <c r="BS68" i="88"/>
  <c r="BS69" i="88" s="1"/>
  <c r="BF70" i="88"/>
  <c r="BN68" i="88"/>
  <c r="BN69" i="88" s="1"/>
  <c r="AN68" i="88"/>
  <c r="AN70" i="88" s="1"/>
  <c r="AJ68" i="88"/>
  <c r="AJ69" i="88" s="1"/>
  <c r="AY68" i="88"/>
  <c r="AY69" i="88" s="1"/>
  <c r="BR68" i="88"/>
  <c r="BR69" i="88" s="1"/>
  <c r="Y68" i="88"/>
  <c r="Y69" i="88" s="1"/>
  <c r="V68" i="88"/>
  <c r="V70" i="88" s="1"/>
  <c r="AI68" i="88"/>
  <c r="AI70" i="88" s="1"/>
  <c r="AE68" i="88"/>
  <c r="AE69" i="88" s="1"/>
  <c r="BK70" i="88"/>
  <c r="AX68" i="88"/>
  <c r="AZ68" i="88"/>
  <c r="AZ69" i="88" s="1"/>
  <c r="CG68" i="88"/>
  <c r="CG69" i="88" s="1"/>
  <c r="AF68" i="88"/>
  <c r="AF70" i="88" s="1"/>
  <c r="AR68" i="88"/>
  <c r="AR69" i="88" s="1"/>
  <c r="U68" i="88"/>
  <c r="U70" i="88" s="1"/>
  <c r="CC68" i="88"/>
  <c r="CC69" i="88" s="1"/>
  <c r="W68" i="88"/>
  <c r="W70" i="88" s="1"/>
  <c r="CH68" i="88"/>
  <c r="CH69" i="88" s="1"/>
  <c r="BH68" i="88"/>
  <c r="BH69" i="88" s="1"/>
  <c r="X68" i="88"/>
  <c r="X69" i="88" s="1"/>
  <c r="T68" i="88"/>
  <c r="T70" i="88" s="1"/>
  <c r="Z70" i="88"/>
  <c r="AV70" i="88"/>
  <c r="I69" i="88"/>
  <c r="I70" i="88"/>
  <c r="CI69" i="88"/>
  <c r="BX69" i="88"/>
  <c r="BX70" i="88"/>
  <c r="M69" i="88"/>
  <c r="M70" i="88"/>
  <c r="K69" i="88"/>
  <c r="K70" i="88"/>
  <c r="BM69" i="88"/>
  <c r="P69" i="88"/>
  <c r="P70" i="88"/>
  <c r="BU69" i="88"/>
  <c r="BU70" i="88"/>
  <c r="AU69" i="88"/>
  <c r="AU70" i="88"/>
  <c r="BC69" i="88"/>
  <c r="BC70" i="88"/>
  <c r="CC70" i="88"/>
  <c r="L69" i="88"/>
  <c r="L70" i="88"/>
  <c r="BW69" i="88"/>
  <c r="BW70" i="88"/>
  <c r="BB68" i="88"/>
  <c r="BL69" i="88"/>
  <c r="BL70" i="88"/>
  <c r="BS70" i="88"/>
  <c r="BG69" i="88"/>
  <c r="BG70" i="88"/>
  <c r="AK68" i="88"/>
  <c r="O69" i="88"/>
  <c r="O70" i="88"/>
  <c r="H69" i="88"/>
  <c r="H70" i="88"/>
  <c r="BD68" i="88"/>
  <c r="CF68" i="88"/>
  <c r="AW68" i="88"/>
  <c r="BO68" i="88"/>
  <c r="CA68" i="88"/>
  <c r="R69" i="88"/>
  <c r="R70" i="88"/>
  <c r="N69" i="88"/>
  <c r="N70" i="88"/>
  <c r="BT69" i="88"/>
  <c r="CB70" i="88"/>
  <c r="Q69" i="88"/>
  <c r="Q70" i="88"/>
  <c r="CJ68" i="88"/>
  <c r="CE69" i="88"/>
  <c r="CE70" i="88"/>
  <c r="S69" i="88"/>
  <c r="S70" i="88"/>
  <c r="CD68" i="88"/>
  <c r="AO69" i="88"/>
  <c r="AO70" i="88"/>
  <c r="BE68" i="88"/>
  <c r="CM56" i="83"/>
  <c r="CM61" i="83"/>
  <c r="CM42" i="83"/>
  <c r="CM59" i="83"/>
  <c r="C8" i="95"/>
  <c r="BY70" i="88" l="1"/>
  <c r="AC70" i="88"/>
  <c r="AB70" i="88"/>
  <c r="AH70" i="88"/>
  <c r="AQ70" i="88"/>
  <c r="BN70" i="88"/>
  <c r="AG70" i="88"/>
  <c r="AM70" i="88"/>
  <c r="U69" i="88"/>
  <c r="AL69" i="88"/>
  <c r="BA70" i="88"/>
  <c r="BI70" i="88"/>
  <c r="AR70" i="88"/>
  <c r="AZ70" i="88"/>
  <c r="AI69" i="88"/>
  <c r="AE70" i="88"/>
  <c r="V69" i="88"/>
  <c r="BR70" i="88"/>
  <c r="AS70" i="88"/>
  <c r="CK70" i="88"/>
  <c r="AA70" i="88"/>
  <c r="CG70" i="88"/>
  <c r="AF69" i="88"/>
  <c r="AY70" i="88"/>
  <c r="BP70" i="88"/>
  <c r="AN69" i="88"/>
  <c r="T69" i="88"/>
  <c r="BH70" i="88"/>
  <c r="X70" i="88"/>
  <c r="W69" i="88"/>
  <c r="Y70" i="88"/>
  <c r="AJ70" i="88"/>
  <c r="BQ70" i="88"/>
  <c r="AX69" i="88"/>
  <c r="AX70" i="88"/>
  <c r="CH70" i="88"/>
  <c r="CD69" i="88"/>
  <c r="CD70" i="88"/>
  <c r="AW69" i="88"/>
  <c r="AW70" i="88"/>
  <c r="CF69" i="88"/>
  <c r="CF70" i="88"/>
  <c r="BB69" i="88"/>
  <c r="BB70" i="88"/>
  <c r="BO69" i="88"/>
  <c r="BO70" i="88"/>
  <c r="BE69" i="88"/>
  <c r="BE70" i="88"/>
  <c r="CJ69" i="88"/>
  <c r="CJ70" i="88"/>
  <c r="CA69" i="88"/>
  <c r="CA70" i="88"/>
  <c r="BD69" i="88"/>
  <c r="BD70" i="88"/>
  <c r="AK69" i="88"/>
  <c r="AK70" i="88"/>
  <c r="C9" i="77"/>
  <c r="D9" i="77"/>
  <c r="E9" i="77"/>
  <c r="F9" i="77"/>
  <c r="D8" i="95" l="1"/>
  <c r="D8" i="102"/>
  <c r="D8" i="101"/>
  <c r="D8" i="103"/>
  <c r="CM64" i="83"/>
  <c r="CM66" i="83" s="1"/>
  <c r="E8" i="102" l="1"/>
  <c r="E8" i="101"/>
  <c r="E8" i="103"/>
  <c r="E8" i="95"/>
  <c r="C8" i="96"/>
  <c r="F8" i="95" l="1"/>
  <c r="F8" i="101"/>
  <c r="F8" i="103"/>
  <c r="F8" i="102"/>
  <c r="G8" i="96"/>
  <c r="F8" i="96"/>
  <c r="E8" i="96"/>
  <c r="D8" i="96"/>
  <c r="G8" i="95" l="1"/>
  <c r="G8" i="101"/>
  <c r="G8" i="103"/>
  <c r="G8" i="102"/>
  <c r="L19" i="16"/>
  <c r="L18" i="16" s="1"/>
  <c r="L14" i="16"/>
  <c r="L15" i="16"/>
  <c r="L16" i="16"/>
  <c r="L17" i="16"/>
  <c r="L13" i="16"/>
  <c r="L7" i="16"/>
  <c r="L8" i="16"/>
  <c r="L9" i="16"/>
  <c r="L10" i="16"/>
  <c r="L11" i="16"/>
  <c r="L6" i="16"/>
  <c r="J16" i="80"/>
  <c r="H26" i="80"/>
  <c r="I26" i="80" s="1"/>
  <c r="J26" i="80" s="1"/>
  <c r="K26" i="80" s="1"/>
  <c r="L26" i="80" s="1"/>
  <c r="M26" i="80" s="1"/>
  <c r="N26" i="80" s="1"/>
  <c r="O26" i="80" s="1"/>
  <c r="P26" i="80" s="1"/>
  <c r="Q26" i="80" s="1"/>
  <c r="R26" i="80" s="1"/>
  <c r="S26" i="80" s="1"/>
  <c r="T26" i="80" s="1"/>
  <c r="U26" i="80" s="1"/>
  <c r="V26" i="80" s="1"/>
  <c r="W26" i="80" s="1"/>
  <c r="X26" i="80" s="1"/>
  <c r="Y26" i="80" s="1"/>
  <c r="Z26" i="80" s="1"/>
  <c r="H8" i="95" l="1"/>
  <c r="H8" i="103"/>
  <c r="H8" i="102"/>
  <c r="H8" i="101"/>
  <c r="M16" i="80"/>
  <c r="Y16" i="80"/>
  <c r="I16" i="80"/>
  <c r="U16" i="80"/>
  <c r="Q16" i="80"/>
  <c r="X16" i="80"/>
  <c r="T16" i="80"/>
  <c r="P16" i="80"/>
  <c r="L16" i="80"/>
  <c r="H16" i="80"/>
  <c r="W16" i="80"/>
  <c r="S16" i="80"/>
  <c r="O16" i="80"/>
  <c r="K16" i="80"/>
  <c r="Z16" i="80"/>
  <c r="V16" i="80"/>
  <c r="R16" i="80"/>
  <c r="N16" i="80"/>
  <c r="L12" i="16"/>
  <c r="L4" i="16"/>
  <c r="I8" i="95" l="1"/>
  <c r="I8" i="103"/>
  <c r="I8" i="102"/>
  <c r="I8" i="101"/>
  <c r="K15" i="80"/>
  <c r="O15" i="80"/>
  <c r="S15" i="80"/>
  <c r="W15" i="80"/>
  <c r="H15" i="80"/>
  <c r="N15" i="80"/>
  <c r="L15" i="80"/>
  <c r="P15" i="80"/>
  <c r="T15" i="80"/>
  <c r="X15" i="80"/>
  <c r="J15" i="80"/>
  <c r="R15" i="80"/>
  <c r="Z15" i="80"/>
  <c r="I15" i="80"/>
  <c r="M15" i="80"/>
  <c r="Q15" i="80"/>
  <c r="U15" i="80"/>
  <c r="Y15" i="80"/>
  <c r="V15" i="80"/>
  <c r="L3" i="16"/>
  <c r="L21" i="16" l="1"/>
  <c r="J8" i="95"/>
  <c r="J8" i="103"/>
  <c r="J8" i="102"/>
  <c r="J8" i="101"/>
  <c r="G8" i="80"/>
  <c r="E8" i="80" s="1"/>
  <c r="E24" i="80" s="1"/>
  <c r="Y15" i="78"/>
  <c r="J15" i="78"/>
  <c r="I16" i="78"/>
  <c r="I23" i="77" s="1"/>
  <c r="J54" i="77"/>
  <c r="K54" i="77"/>
  <c r="L54" i="77"/>
  <c r="M54" i="77"/>
  <c r="N54" i="77"/>
  <c r="O54" i="77"/>
  <c r="P54" i="77"/>
  <c r="Q54" i="77"/>
  <c r="R54" i="77"/>
  <c r="S54" i="77"/>
  <c r="T54" i="77"/>
  <c r="U54" i="77"/>
  <c r="V54" i="77"/>
  <c r="W54" i="77"/>
  <c r="X54" i="77"/>
  <c r="Y54" i="77"/>
  <c r="Z54" i="77"/>
  <c r="I54" i="77"/>
  <c r="J53" i="77"/>
  <c r="K53" i="77"/>
  <c r="L53" i="77"/>
  <c r="M53" i="77"/>
  <c r="N53" i="77"/>
  <c r="O53" i="77"/>
  <c r="P53" i="77"/>
  <c r="Q53" i="77"/>
  <c r="R53" i="77"/>
  <c r="S53" i="77"/>
  <c r="T53" i="77"/>
  <c r="U53" i="77"/>
  <c r="V53" i="77"/>
  <c r="W53" i="77"/>
  <c r="X53" i="77"/>
  <c r="Y53" i="77"/>
  <c r="Z53" i="77"/>
  <c r="I53" i="77"/>
  <c r="H53" i="77"/>
  <c r="F8" i="80" l="1"/>
  <c r="F9" i="80" s="1"/>
  <c r="I15" i="78"/>
  <c r="C8" i="80"/>
  <c r="C9" i="80" s="1"/>
  <c r="G9" i="80"/>
  <c r="D8" i="80"/>
  <c r="D24" i="80" s="1"/>
  <c r="E55" i="100"/>
  <c r="E56" i="100" s="1"/>
  <c r="E54" i="100" s="1"/>
  <c r="X17" i="80" s="1"/>
  <c r="K8" i="95"/>
  <c r="K8" i="103"/>
  <c r="K8" i="102"/>
  <c r="K8" i="101"/>
  <c r="Z17" i="80"/>
  <c r="V17" i="80"/>
  <c r="R17" i="80"/>
  <c r="M17" i="80"/>
  <c r="J17" i="80"/>
  <c r="W17" i="80"/>
  <c r="Q15" i="78"/>
  <c r="E9" i="80"/>
  <c r="O15" i="78"/>
  <c r="Y58" i="77"/>
  <c r="Q58" i="77"/>
  <c r="M15" i="78"/>
  <c r="AA15" i="78"/>
  <c r="K15" i="78"/>
  <c r="U15" i="78"/>
  <c r="W15" i="78"/>
  <c r="U58" i="77"/>
  <c r="S15" i="78"/>
  <c r="H17" i="80"/>
  <c r="I17" i="80"/>
  <c r="K17" i="80"/>
  <c r="T17" i="80"/>
  <c r="P17" i="80"/>
  <c r="X58" i="77"/>
  <c r="P58" i="77"/>
  <c r="I58" i="77"/>
  <c r="W58" i="77"/>
  <c r="S58" i="77"/>
  <c r="O58" i="77"/>
  <c r="K58" i="77"/>
  <c r="T58" i="77"/>
  <c r="L58" i="77"/>
  <c r="Z58" i="77"/>
  <c r="V58" i="77"/>
  <c r="R58" i="77"/>
  <c r="N58" i="77"/>
  <c r="M58" i="77"/>
  <c r="J58" i="77"/>
  <c r="F24" i="80"/>
  <c r="D9" i="80"/>
  <c r="Y16" i="78"/>
  <c r="Y23" i="77" s="1"/>
  <c r="U16" i="78"/>
  <c r="U23" i="77" s="1"/>
  <c r="Q16" i="78"/>
  <c r="Q23" i="77" s="1"/>
  <c r="M16" i="78"/>
  <c r="M23" i="77" s="1"/>
  <c r="H16" i="78"/>
  <c r="X16" i="78"/>
  <c r="X23" i="77" s="1"/>
  <c r="T16" i="78"/>
  <c r="T23" i="77" s="1"/>
  <c r="P16" i="78"/>
  <c r="P23" i="77" s="1"/>
  <c r="L16" i="78"/>
  <c r="L23" i="77" s="1"/>
  <c r="K16" i="78"/>
  <c r="K23" i="77" s="1"/>
  <c r="AA16" i="78"/>
  <c r="W16" i="78"/>
  <c r="W23" i="77" s="1"/>
  <c r="S16" i="78"/>
  <c r="S23" i="77" s="1"/>
  <c r="O16" i="78"/>
  <c r="O23" i="77" s="1"/>
  <c r="Z16" i="78"/>
  <c r="Z23" i="77" s="1"/>
  <c r="V16" i="78"/>
  <c r="V23" i="77" s="1"/>
  <c r="R16" i="78"/>
  <c r="R23" i="77" s="1"/>
  <c r="N16" i="78"/>
  <c r="N23" i="77" s="1"/>
  <c r="J16" i="78"/>
  <c r="J23" i="77" s="1"/>
  <c r="H15" i="78"/>
  <c r="X15" i="78"/>
  <c r="T15" i="78"/>
  <c r="P15" i="78"/>
  <c r="L15" i="78"/>
  <c r="Z15" i="78"/>
  <c r="V15" i="78"/>
  <c r="R15" i="78"/>
  <c r="N15" i="78"/>
  <c r="H54" i="77"/>
  <c r="H58" i="77" s="1"/>
  <c r="O17" i="80" l="1"/>
  <c r="S17" i="80"/>
  <c r="Q17" i="80"/>
  <c r="U17" i="80"/>
  <c r="C24" i="80"/>
  <c r="H23" i="77"/>
  <c r="B10" i="103" s="1"/>
  <c r="E44" i="100"/>
  <c r="E59" i="100" s="1"/>
  <c r="L17" i="80"/>
  <c r="G10" i="95"/>
  <c r="K10" i="103"/>
  <c r="H10" i="95"/>
  <c r="F10" i="95"/>
  <c r="Y17" i="80"/>
  <c r="D10" i="102"/>
  <c r="B15" i="99"/>
  <c r="J10" i="102"/>
  <c r="N17" i="80"/>
  <c r="C10" i="103"/>
  <c r="C10" i="102"/>
  <c r="C10" i="101"/>
  <c r="C10" i="95"/>
  <c r="G10" i="102"/>
  <c r="G10" i="101"/>
  <c r="H10" i="103"/>
  <c r="I10" i="95"/>
  <c r="I10" i="102"/>
  <c r="I10" i="101"/>
  <c r="I10" i="103"/>
  <c r="E10" i="103"/>
  <c r="E10" i="102"/>
  <c r="E10" i="101"/>
  <c r="F10" i="101"/>
  <c r="J10" i="95"/>
  <c r="J10" i="101"/>
  <c r="J10" i="103"/>
  <c r="E10" i="95"/>
  <c r="C10" i="96"/>
  <c r="I17" i="78"/>
  <c r="Q17" i="78"/>
  <c r="J17" i="78"/>
  <c r="N17" i="78"/>
  <c r="R17" i="78"/>
  <c r="V17" i="78"/>
  <c r="Z17" i="78"/>
  <c r="O17" i="78"/>
  <c r="W17" i="78"/>
  <c r="K17" i="78"/>
  <c r="S17" i="78"/>
  <c r="AA17" i="78"/>
  <c r="L17" i="78"/>
  <c r="P17" i="78"/>
  <c r="T17" i="78"/>
  <c r="X17" i="78"/>
  <c r="H17" i="78"/>
  <c r="M17" i="78"/>
  <c r="U17" i="78"/>
  <c r="Y17" i="78"/>
  <c r="B22" i="60"/>
  <c r="B10" i="59"/>
  <c r="H26" i="78"/>
  <c r="I26" i="78" s="1"/>
  <c r="J26" i="78" s="1"/>
  <c r="K26" i="78" s="1"/>
  <c r="L26" i="78" s="1"/>
  <c r="M26" i="78" s="1"/>
  <c r="N26" i="78" s="1"/>
  <c r="O26" i="78" s="1"/>
  <c r="P26" i="78" s="1"/>
  <c r="Q26" i="78" s="1"/>
  <c r="R26" i="78" s="1"/>
  <c r="S26" i="78" s="1"/>
  <c r="T26" i="78" s="1"/>
  <c r="U26" i="78" s="1"/>
  <c r="V26" i="78" s="1"/>
  <c r="W26" i="78" s="1"/>
  <c r="X26" i="78" s="1"/>
  <c r="Y26" i="78" s="1"/>
  <c r="Z26" i="78" s="1"/>
  <c r="AA26" i="78" s="1"/>
  <c r="Z10" i="78"/>
  <c r="V10" i="78"/>
  <c r="U10" i="78"/>
  <c r="N10" i="78"/>
  <c r="M10" i="78"/>
  <c r="G8" i="78"/>
  <c r="G8" i="77" s="1"/>
  <c r="B10" i="101" l="1"/>
  <c r="B10" i="95"/>
  <c r="L10" i="78"/>
  <c r="AA10" i="78"/>
  <c r="K10" i="78"/>
  <c r="S10" i="78"/>
  <c r="Y10" i="78"/>
  <c r="D10" i="101"/>
  <c r="F10" i="102"/>
  <c r="F10" i="103"/>
  <c r="H10" i="101"/>
  <c r="H10" i="102"/>
  <c r="D10" i="95"/>
  <c r="G10" i="103"/>
  <c r="B10" i="102"/>
  <c r="D10" i="103"/>
  <c r="K10" i="101"/>
  <c r="K10" i="102"/>
  <c r="K10" i="95"/>
  <c r="T10" i="78"/>
  <c r="O10" i="78"/>
  <c r="W10" i="78"/>
  <c r="Q10" i="78"/>
  <c r="R10" i="78"/>
  <c r="H10" i="78"/>
  <c r="P10" i="78"/>
  <c r="X10" i="78"/>
  <c r="J10" i="78"/>
  <c r="I10" i="78"/>
  <c r="F10" i="96"/>
  <c r="G10" i="96"/>
  <c r="D10" i="96"/>
  <c r="E10" i="96"/>
  <c r="C7" i="78"/>
  <c r="D7" i="78"/>
  <c r="D8" i="78" s="1"/>
  <c r="E7" i="78"/>
  <c r="F7" i="78"/>
  <c r="F24" i="78" s="1"/>
  <c r="D24" i="78" l="1"/>
  <c r="F8" i="78"/>
  <c r="E24" i="78"/>
  <c r="E8" i="78"/>
  <c r="C8" i="78"/>
  <c r="C24" i="78"/>
  <c r="H31" i="77" l="1"/>
  <c r="I31" i="77" s="1"/>
  <c r="J31" i="77" s="1"/>
  <c r="K31" i="77" s="1"/>
  <c r="L31" i="77" s="1"/>
  <c r="M31" i="77" s="1"/>
  <c r="N31" i="77" s="1"/>
  <c r="O31" i="77" s="1"/>
  <c r="P31" i="77" s="1"/>
  <c r="Q31" i="77" s="1"/>
  <c r="R31" i="77" s="1"/>
  <c r="S31" i="77" s="1"/>
  <c r="T31" i="77" s="1"/>
  <c r="U31" i="77" s="1"/>
  <c r="V31" i="77" s="1"/>
  <c r="W31" i="77" s="1"/>
  <c r="X31" i="77" s="1"/>
  <c r="Y31" i="77" s="1"/>
  <c r="Z31" i="77" s="1"/>
  <c r="H16" i="66" l="1"/>
  <c r="I16" i="66" l="1"/>
  <c r="J16" i="66" l="1"/>
  <c r="I7" i="12"/>
  <c r="I6" i="12"/>
  <c r="I5" i="12"/>
  <c r="I4" i="12"/>
  <c r="I3" i="12"/>
  <c r="I2" i="12"/>
  <c r="H15" i="72"/>
  <c r="I15" i="72"/>
  <c r="J15" i="72"/>
  <c r="K15" i="72"/>
  <c r="L15" i="72"/>
  <c r="M15" i="72"/>
  <c r="N15" i="72"/>
  <c r="O15" i="72"/>
  <c r="P15" i="72"/>
  <c r="Q15" i="72"/>
  <c r="R15" i="72"/>
  <c r="S15" i="72"/>
  <c r="T15" i="72"/>
  <c r="U15" i="72"/>
  <c r="V15" i="72"/>
  <c r="W15" i="72"/>
  <c r="X15" i="72"/>
  <c r="Y15" i="72"/>
  <c r="Z15" i="72"/>
  <c r="AA15" i="72"/>
  <c r="AB15" i="72"/>
  <c r="AC15" i="72"/>
  <c r="AD15" i="72"/>
  <c r="AE15" i="72"/>
  <c r="AF15" i="72"/>
  <c r="AG15" i="72"/>
  <c r="AH15" i="72"/>
  <c r="AI15" i="72"/>
  <c r="AJ15" i="72"/>
  <c r="AK15" i="72"/>
  <c r="AL15" i="72"/>
  <c r="AM15" i="72"/>
  <c r="AN15" i="72"/>
  <c r="AO15" i="72"/>
  <c r="AP15" i="72"/>
  <c r="AQ15" i="72"/>
  <c r="AR15" i="72"/>
  <c r="AS15" i="72"/>
  <c r="AT15" i="72"/>
  <c r="AU15" i="72"/>
  <c r="AV15" i="72"/>
  <c r="AW15" i="72"/>
  <c r="AX15" i="72"/>
  <c r="AY15" i="72"/>
  <c r="AZ15" i="72"/>
  <c r="BA15" i="72"/>
  <c r="BB15" i="72"/>
  <c r="BC15" i="72"/>
  <c r="BD15" i="72"/>
  <c r="BE15" i="72"/>
  <c r="BF15" i="72"/>
  <c r="BG15" i="72"/>
  <c r="BH15" i="72"/>
  <c r="BI15" i="72"/>
  <c r="BJ15" i="72"/>
  <c r="BK15" i="72"/>
  <c r="BL15" i="72"/>
  <c r="BM15" i="72"/>
  <c r="BN15" i="72"/>
  <c r="BO15" i="72"/>
  <c r="BP15" i="72"/>
  <c r="BQ15" i="72"/>
  <c r="BR15" i="72"/>
  <c r="BS15" i="72"/>
  <c r="BT15" i="72"/>
  <c r="BU15" i="72"/>
  <c r="BV15" i="72"/>
  <c r="BW15" i="72"/>
  <c r="BX15" i="72"/>
  <c r="BY15" i="72"/>
  <c r="BZ15" i="72"/>
  <c r="CA15" i="72"/>
  <c r="CB15" i="72"/>
  <c r="CC15" i="72"/>
  <c r="CD15" i="72"/>
  <c r="CE15" i="72"/>
  <c r="CF15" i="72"/>
  <c r="CG15" i="72"/>
  <c r="CH15" i="72"/>
  <c r="CI15" i="72"/>
  <c r="CJ15" i="72"/>
  <c r="CK15" i="72"/>
  <c r="CL15" i="72"/>
  <c r="G15" i="72"/>
  <c r="H14" i="72"/>
  <c r="I14" i="72"/>
  <c r="J14" i="72"/>
  <c r="K14" i="72"/>
  <c r="L14" i="72"/>
  <c r="M14" i="72"/>
  <c r="N14" i="72"/>
  <c r="O14" i="72"/>
  <c r="P14" i="72"/>
  <c r="Q14" i="72"/>
  <c r="R14" i="72"/>
  <c r="S14" i="72"/>
  <c r="T14" i="72"/>
  <c r="U14" i="72"/>
  <c r="V14" i="72"/>
  <c r="W14" i="72"/>
  <c r="X14" i="72"/>
  <c r="Y14" i="72"/>
  <c r="Z14" i="72"/>
  <c r="AA14" i="72"/>
  <c r="AB14" i="72"/>
  <c r="AC14" i="72"/>
  <c r="AD14" i="72"/>
  <c r="AE14" i="72"/>
  <c r="AF14" i="72"/>
  <c r="AG14" i="72"/>
  <c r="AH14" i="72"/>
  <c r="AI14" i="72"/>
  <c r="AJ14" i="72"/>
  <c r="AK14" i="72"/>
  <c r="AL14" i="72"/>
  <c r="AM14" i="72"/>
  <c r="AN14" i="72"/>
  <c r="AO14" i="72"/>
  <c r="AP14" i="72"/>
  <c r="AQ14" i="72"/>
  <c r="AR14" i="72"/>
  <c r="AS14" i="72"/>
  <c r="AT14" i="72"/>
  <c r="AU14" i="72"/>
  <c r="AV14" i="72"/>
  <c r="AW14" i="72"/>
  <c r="AX14" i="72"/>
  <c r="AY14" i="72"/>
  <c r="AZ14" i="72"/>
  <c r="BA14" i="72"/>
  <c r="BB14" i="72"/>
  <c r="BC14" i="72"/>
  <c r="BD14" i="72"/>
  <c r="BE14" i="72"/>
  <c r="BF14" i="72"/>
  <c r="BG14" i="72"/>
  <c r="BH14" i="72"/>
  <c r="BI14" i="72"/>
  <c r="BJ14" i="72"/>
  <c r="BK14" i="72"/>
  <c r="BL14" i="72"/>
  <c r="BM14" i="72"/>
  <c r="BN14" i="72"/>
  <c r="BO14" i="72"/>
  <c r="BP14" i="72"/>
  <c r="BQ14" i="72"/>
  <c r="BR14" i="72"/>
  <c r="BS14" i="72"/>
  <c r="BT14" i="72"/>
  <c r="BU14" i="72"/>
  <c r="BV14" i="72"/>
  <c r="BW14" i="72"/>
  <c r="BX14" i="72"/>
  <c r="BY14" i="72"/>
  <c r="BZ14" i="72"/>
  <c r="CA14" i="72"/>
  <c r="CB14" i="72"/>
  <c r="CC14" i="72"/>
  <c r="CD14" i="72"/>
  <c r="CE14" i="72"/>
  <c r="CF14" i="72"/>
  <c r="CG14" i="72"/>
  <c r="CH14" i="72"/>
  <c r="CI14" i="72"/>
  <c r="CJ14" i="72"/>
  <c r="CK14" i="72"/>
  <c r="CL14" i="72"/>
  <c r="CM14" i="72"/>
  <c r="G14" i="72"/>
  <c r="H12" i="72"/>
  <c r="I12" i="72"/>
  <c r="J12" i="72"/>
  <c r="K12" i="72"/>
  <c r="L12" i="72"/>
  <c r="M12" i="72"/>
  <c r="N12" i="72"/>
  <c r="O12" i="72"/>
  <c r="P12" i="72"/>
  <c r="Q12" i="72"/>
  <c r="R12" i="72"/>
  <c r="S12" i="72"/>
  <c r="T12" i="72"/>
  <c r="U12" i="72"/>
  <c r="V12" i="72"/>
  <c r="W12" i="72"/>
  <c r="X12" i="72"/>
  <c r="Y12" i="72"/>
  <c r="Z12" i="72"/>
  <c r="AA12" i="72"/>
  <c r="AB12" i="72"/>
  <c r="AC12" i="72"/>
  <c r="AD12" i="72"/>
  <c r="AE12" i="72"/>
  <c r="AF12" i="72"/>
  <c r="AG12" i="72"/>
  <c r="AH12" i="72"/>
  <c r="AI12" i="72"/>
  <c r="AJ12" i="72"/>
  <c r="AK12" i="72"/>
  <c r="AL12" i="72"/>
  <c r="AM12" i="72"/>
  <c r="AN12" i="72"/>
  <c r="AO12" i="72"/>
  <c r="AP12" i="72"/>
  <c r="AQ12" i="72"/>
  <c r="AR12" i="72"/>
  <c r="AS12" i="72"/>
  <c r="AT12" i="72"/>
  <c r="AU12" i="72"/>
  <c r="AV12" i="72"/>
  <c r="AW12" i="72"/>
  <c r="AX12" i="72"/>
  <c r="AY12" i="72"/>
  <c r="AZ12" i="72"/>
  <c r="BA12" i="72"/>
  <c r="BB12" i="72"/>
  <c r="BC12" i="72"/>
  <c r="BD12" i="72"/>
  <c r="BE12" i="72"/>
  <c r="BF12" i="72"/>
  <c r="BG12" i="72"/>
  <c r="BH12" i="72"/>
  <c r="BI12" i="72"/>
  <c r="BJ12" i="72"/>
  <c r="BK12" i="72"/>
  <c r="BL12" i="72"/>
  <c r="BM12" i="72"/>
  <c r="BN12" i="72"/>
  <c r="BO12" i="72"/>
  <c r="BP12" i="72"/>
  <c r="BQ12" i="72"/>
  <c r="BR12" i="72"/>
  <c r="BS12" i="72"/>
  <c r="BT12" i="72"/>
  <c r="BU12" i="72"/>
  <c r="BV12" i="72"/>
  <c r="BW12" i="72"/>
  <c r="BX12" i="72"/>
  <c r="BY12" i="72"/>
  <c r="BZ12" i="72"/>
  <c r="CA12" i="72"/>
  <c r="CB12" i="72"/>
  <c r="CC12" i="72"/>
  <c r="CD12" i="72"/>
  <c r="CE12" i="72"/>
  <c r="CF12" i="72"/>
  <c r="CG12" i="72"/>
  <c r="CH12" i="72"/>
  <c r="CI12" i="72"/>
  <c r="CJ12" i="72"/>
  <c r="CK12" i="72"/>
  <c r="CL12" i="72"/>
  <c r="G12"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E29" i="72" l="1"/>
  <c r="BW29" i="72"/>
  <c r="BK29" i="72"/>
  <c r="AY29" i="72"/>
  <c r="AI29" i="72"/>
  <c r="W29" i="72"/>
  <c r="K29" i="72"/>
  <c r="CI31" i="72"/>
  <c r="CI25" i="72"/>
  <c r="BW31" i="72"/>
  <c r="BW25" i="72"/>
  <c r="BK31" i="72"/>
  <c r="BK25" i="72"/>
  <c r="AY31" i="72"/>
  <c r="AY25" i="72"/>
  <c r="AM31" i="72"/>
  <c r="AM25" i="72"/>
  <c r="AA31" i="72"/>
  <c r="AA25" i="72"/>
  <c r="O31" i="72"/>
  <c r="O25" i="72"/>
  <c r="CI32" i="72"/>
  <c r="CI26" i="72"/>
  <c r="BW32" i="72"/>
  <c r="BW26" i="72"/>
  <c r="BK32" i="72"/>
  <c r="BK26" i="72"/>
  <c r="AY32" i="72"/>
  <c r="AY26" i="72"/>
  <c r="AI32" i="72"/>
  <c r="AI26" i="72"/>
  <c r="W32" i="72"/>
  <c r="W26" i="72"/>
  <c r="O32" i="72"/>
  <c r="O26" i="72"/>
  <c r="CL29" i="72"/>
  <c r="CH29" i="72"/>
  <c r="CD29" i="72"/>
  <c r="BZ29" i="72"/>
  <c r="BV29" i="72"/>
  <c r="BR29" i="72"/>
  <c r="BN29" i="72"/>
  <c r="BJ29" i="72"/>
  <c r="BF29" i="72"/>
  <c r="BB29" i="72"/>
  <c r="AX29" i="72"/>
  <c r="AT29" i="72"/>
  <c r="AP29" i="72"/>
  <c r="AL29" i="72"/>
  <c r="AH29" i="72"/>
  <c r="AD29" i="72"/>
  <c r="Z29" i="72"/>
  <c r="V29" i="72"/>
  <c r="R29" i="72"/>
  <c r="N29" i="72"/>
  <c r="J29" i="72"/>
  <c r="CL31" i="72"/>
  <c r="CL25" i="72"/>
  <c r="CH31" i="72"/>
  <c r="CH25" i="72"/>
  <c r="CD31" i="72"/>
  <c r="CD25" i="72"/>
  <c r="BZ31" i="72"/>
  <c r="BZ25" i="72"/>
  <c r="BV31" i="72"/>
  <c r="BV25" i="72"/>
  <c r="BR31" i="72"/>
  <c r="BR25" i="72"/>
  <c r="BN31" i="72"/>
  <c r="BN25" i="72"/>
  <c r="BJ31" i="72"/>
  <c r="BJ25" i="72"/>
  <c r="BF31" i="72"/>
  <c r="BF25" i="72"/>
  <c r="BB25" i="72"/>
  <c r="BB31" i="72"/>
  <c r="AX31" i="72"/>
  <c r="AX25" i="72"/>
  <c r="AT31" i="72"/>
  <c r="AT25" i="72"/>
  <c r="AP31" i="72"/>
  <c r="AP25" i="72"/>
  <c r="AL31" i="72"/>
  <c r="AL25" i="72"/>
  <c r="AH31" i="72"/>
  <c r="AH25" i="72"/>
  <c r="AD31" i="72"/>
  <c r="AD25" i="72"/>
  <c r="Z31" i="72"/>
  <c r="Z25" i="72"/>
  <c r="V31" i="72"/>
  <c r="V25" i="72"/>
  <c r="R31" i="72"/>
  <c r="R25" i="72"/>
  <c r="N25" i="72"/>
  <c r="N31" i="72"/>
  <c r="J31" i="72"/>
  <c r="J25" i="72"/>
  <c r="CL32" i="72"/>
  <c r="CL26" i="72"/>
  <c r="CH32" i="72"/>
  <c r="CH26" i="72"/>
  <c r="CD32" i="72"/>
  <c r="CD26" i="72"/>
  <c r="BZ32" i="72"/>
  <c r="BZ26" i="72"/>
  <c r="BV32" i="72"/>
  <c r="BV26" i="72"/>
  <c r="BR32" i="72"/>
  <c r="BR26" i="72"/>
  <c r="BN32" i="72"/>
  <c r="BN26" i="72"/>
  <c r="BJ32" i="72"/>
  <c r="BJ26" i="72"/>
  <c r="BF32" i="72"/>
  <c r="BF26" i="72"/>
  <c r="BB32" i="72"/>
  <c r="BB26" i="72"/>
  <c r="AX32" i="72"/>
  <c r="AX26" i="72"/>
  <c r="AT32" i="72"/>
  <c r="AT26" i="72"/>
  <c r="AP32" i="72"/>
  <c r="AP26" i="72"/>
  <c r="AL32" i="72"/>
  <c r="AL26" i="72"/>
  <c r="AH32" i="72"/>
  <c r="AH26" i="72"/>
  <c r="AD32" i="72"/>
  <c r="AD26" i="72"/>
  <c r="Z32" i="72"/>
  <c r="Z26" i="72"/>
  <c r="V32" i="72"/>
  <c r="V26" i="72"/>
  <c r="R32" i="72"/>
  <c r="R26" i="72"/>
  <c r="N32" i="72"/>
  <c r="N26" i="72"/>
  <c r="J32" i="72"/>
  <c r="J26" i="72"/>
  <c r="CI29" i="72"/>
  <c r="BO29" i="72"/>
  <c r="BC29" i="72"/>
  <c r="AQ29" i="72"/>
  <c r="AE29" i="72"/>
  <c r="S29" i="72"/>
  <c r="CA31" i="72"/>
  <c r="CA25" i="72"/>
  <c r="BO31" i="72"/>
  <c r="BO25" i="72"/>
  <c r="BC31" i="72"/>
  <c r="BC25" i="72"/>
  <c r="AQ31" i="72"/>
  <c r="AQ25" i="72"/>
  <c r="AE31" i="72"/>
  <c r="AE25" i="72"/>
  <c r="S31" i="72"/>
  <c r="S25" i="72"/>
  <c r="G32" i="72"/>
  <c r="G26" i="72"/>
  <c r="CA32" i="72"/>
  <c r="CA26" i="72"/>
  <c r="BO32" i="72"/>
  <c r="BO26" i="72"/>
  <c r="BC32" i="72"/>
  <c r="BC26" i="72"/>
  <c r="AQ32" i="72"/>
  <c r="AQ26" i="72"/>
  <c r="AE32" i="72"/>
  <c r="AE26" i="72"/>
  <c r="K32" i="72"/>
  <c r="K26" i="72"/>
  <c r="CK29" i="72"/>
  <c r="CG29" i="72"/>
  <c r="CC29" i="72"/>
  <c r="BY29" i="72"/>
  <c r="BU29" i="72"/>
  <c r="BQ29" i="72"/>
  <c r="BM29" i="72"/>
  <c r="BI29" i="72"/>
  <c r="BE29" i="72"/>
  <c r="BA29" i="72"/>
  <c r="AW29" i="72"/>
  <c r="AS29" i="72"/>
  <c r="AO29" i="72"/>
  <c r="AK29" i="72"/>
  <c r="AG29" i="72"/>
  <c r="AC29" i="72"/>
  <c r="Y29" i="72"/>
  <c r="U29" i="72"/>
  <c r="Q29" i="72"/>
  <c r="M29" i="72"/>
  <c r="I29" i="72"/>
  <c r="CK31" i="72"/>
  <c r="CK25" i="72"/>
  <c r="CG31" i="72"/>
  <c r="CG25" i="72"/>
  <c r="CC31" i="72"/>
  <c r="CC25" i="72"/>
  <c r="BY31" i="72"/>
  <c r="BY25" i="72"/>
  <c r="BU31" i="72"/>
  <c r="BU25" i="72"/>
  <c r="BQ31" i="72"/>
  <c r="BQ25" i="72"/>
  <c r="BM31" i="72"/>
  <c r="BM25" i="72"/>
  <c r="BI31" i="72"/>
  <c r="BI25" i="72"/>
  <c r="BE31" i="72"/>
  <c r="BE25" i="72"/>
  <c r="BA31" i="72"/>
  <c r="BA25" i="72"/>
  <c r="AW31" i="72"/>
  <c r="AW25" i="72"/>
  <c r="AS31" i="72"/>
  <c r="AS25" i="72"/>
  <c r="AO31" i="72"/>
  <c r="AO25" i="72"/>
  <c r="AK31" i="72"/>
  <c r="AK25" i="72"/>
  <c r="AG31" i="72"/>
  <c r="AG25" i="72"/>
  <c r="AC31" i="72"/>
  <c r="AC25" i="72"/>
  <c r="Y31" i="72"/>
  <c r="Y25" i="72"/>
  <c r="U31" i="72"/>
  <c r="U25" i="72"/>
  <c r="Q31" i="72"/>
  <c r="Q25" i="72"/>
  <c r="M31" i="72"/>
  <c r="M25" i="72"/>
  <c r="I31" i="72"/>
  <c r="I25" i="72"/>
  <c r="CK32" i="72"/>
  <c r="CK26" i="72"/>
  <c r="CG32" i="72"/>
  <c r="CG26" i="72"/>
  <c r="CC32" i="72"/>
  <c r="CC26" i="72"/>
  <c r="BY32" i="72"/>
  <c r="BY26" i="72"/>
  <c r="BU32" i="72"/>
  <c r="BU26" i="72"/>
  <c r="BQ32" i="72"/>
  <c r="BQ26" i="72"/>
  <c r="BM32" i="72"/>
  <c r="BM26" i="72"/>
  <c r="BI32" i="72"/>
  <c r="BI26" i="72"/>
  <c r="BE32" i="72"/>
  <c r="BE26" i="72"/>
  <c r="BA32" i="72"/>
  <c r="BA26" i="72"/>
  <c r="AW32" i="72"/>
  <c r="AW26" i="72"/>
  <c r="AS32" i="72"/>
  <c r="AS26" i="72"/>
  <c r="AO32" i="72"/>
  <c r="AO26" i="72"/>
  <c r="AK32" i="72"/>
  <c r="AK26" i="72"/>
  <c r="AG32" i="72"/>
  <c r="AG26" i="72"/>
  <c r="AC32" i="72"/>
  <c r="AC26" i="72"/>
  <c r="Y32" i="72"/>
  <c r="Y26" i="72"/>
  <c r="U32" i="72"/>
  <c r="U26" i="72"/>
  <c r="Q32" i="72"/>
  <c r="Q26" i="72"/>
  <c r="M32" i="72"/>
  <c r="M26" i="72"/>
  <c r="I32" i="72"/>
  <c r="I26" i="72"/>
  <c r="G29" i="72"/>
  <c r="CA29" i="72"/>
  <c r="BS29" i="72"/>
  <c r="BG29" i="72"/>
  <c r="AU29" i="72"/>
  <c r="AM29" i="72"/>
  <c r="AA29" i="72"/>
  <c r="O29" i="72"/>
  <c r="CE31" i="72"/>
  <c r="CE25" i="72"/>
  <c r="BS31" i="72"/>
  <c r="BS25" i="72"/>
  <c r="BG31" i="72"/>
  <c r="BG25" i="72"/>
  <c r="AU31" i="72"/>
  <c r="AU25" i="72"/>
  <c r="AI31" i="72"/>
  <c r="AI25" i="72"/>
  <c r="W31" i="72"/>
  <c r="W25" i="72"/>
  <c r="K31" i="72"/>
  <c r="K25" i="72"/>
  <c r="CE32" i="72"/>
  <c r="CE26" i="72"/>
  <c r="BS32" i="72"/>
  <c r="BS26" i="72"/>
  <c r="BG32" i="72"/>
  <c r="BG26" i="72"/>
  <c r="AU32" i="72"/>
  <c r="AU26" i="72"/>
  <c r="AM32" i="72"/>
  <c r="AM26" i="72"/>
  <c r="AA32" i="72"/>
  <c r="AA26" i="72"/>
  <c r="S32" i="72"/>
  <c r="S26" i="72"/>
  <c r="CJ29" i="72"/>
  <c r="CF29" i="72"/>
  <c r="CB29" i="72"/>
  <c r="BX29" i="72"/>
  <c r="BT29" i="72"/>
  <c r="BP29" i="72"/>
  <c r="BL29" i="72"/>
  <c r="BH29" i="72"/>
  <c r="BD29" i="72"/>
  <c r="AZ29" i="72"/>
  <c r="AV29" i="72"/>
  <c r="AR29" i="72"/>
  <c r="AN29" i="72"/>
  <c r="AJ29" i="72"/>
  <c r="AF29" i="72"/>
  <c r="AB29" i="72"/>
  <c r="X29" i="72"/>
  <c r="T29" i="72"/>
  <c r="P29" i="72"/>
  <c r="L29" i="72"/>
  <c r="H29" i="72"/>
  <c r="G31" i="72"/>
  <c r="G25" i="72"/>
  <c r="CJ31" i="72"/>
  <c r="CJ25" i="72"/>
  <c r="CF25" i="72"/>
  <c r="CF31" i="72"/>
  <c r="CB31" i="72"/>
  <c r="CB25" i="72"/>
  <c r="BX31" i="72"/>
  <c r="BX25" i="72"/>
  <c r="BT31" i="72"/>
  <c r="BT25" i="72"/>
  <c r="BP25" i="72"/>
  <c r="BP31" i="72"/>
  <c r="BL25" i="72"/>
  <c r="BL31" i="72"/>
  <c r="BH25" i="72"/>
  <c r="BH31" i="72"/>
  <c r="BD31" i="72"/>
  <c r="BD25" i="72"/>
  <c r="AZ31" i="72"/>
  <c r="AZ25" i="72"/>
  <c r="AV31" i="72"/>
  <c r="AV25" i="72"/>
  <c r="AR31" i="72"/>
  <c r="AR25" i="72"/>
  <c r="AN31" i="72"/>
  <c r="AN25" i="72"/>
  <c r="AJ31" i="72"/>
  <c r="AJ25" i="72"/>
  <c r="AF31" i="72"/>
  <c r="AF25" i="72"/>
  <c r="AB31" i="72"/>
  <c r="AB25" i="72"/>
  <c r="X31" i="72"/>
  <c r="X25" i="72"/>
  <c r="T31" i="72"/>
  <c r="T25" i="72"/>
  <c r="P31" i="72"/>
  <c r="P25" i="72"/>
  <c r="L31" i="72"/>
  <c r="L25" i="72"/>
  <c r="H31" i="72"/>
  <c r="H25" i="72"/>
  <c r="CJ32" i="72"/>
  <c r="CJ26" i="72"/>
  <c r="CF26" i="72"/>
  <c r="CF32" i="72"/>
  <c r="CB32" i="72"/>
  <c r="CB26" i="72"/>
  <c r="BX26" i="72"/>
  <c r="BX32" i="72"/>
  <c r="BT32" i="72"/>
  <c r="BT26" i="72"/>
  <c r="BP32" i="72"/>
  <c r="BP26" i="72"/>
  <c r="BL26" i="72"/>
  <c r="BL32" i="72"/>
  <c r="BH32" i="72"/>
  <c r="BH26" i="72"/>
  <c r="BD32" i="72"/>
  <c r="BD26" i="72"/>
  <c r="AZ26" i="72"/>
  <c r="AZ32" i="72"/>
  <c r="AV32" i="72"/>
  <c r="AV26" i="72"/>
  <c r="AR32" i="72"/>
  <c r="AR26" i="72"/>
  <c r="AN32" i="72"/>
  <c r="AN26" i="72"/>
  <c r="AJ32" i="72"/>
  <c r="AJ26" i="72"/>
  <c r="AF26" i="72"/>
  <c r="AF32" i="72"/>
  <c r="AB26" i="72"/>
  <c r="AB32" i="72"/>
  <c r="X32" i="72"/>
  <c r="X26" i="72"/>
  <c r="T26" i="72"/>
  <c r="T32" i="72"/>
  <c r="P26" i="72"/>
  <c r="P32" i="72"/>
  <c r="L32" i="72"/>
  <c r="L26" i="72"/>
  <c r="H32" i="72"/>
  <c r="H26" i="72"/>
  <c r="K16" i="66"/>
  <c r="I8" i="12"/>
  <c r="E31" i="100" s="1"/>
  <c r="E30" i="100" s="1"/>
  <c r="B32" i="86"/>
  <c r="B12" i="86"/>
  <c r="CM57" i="72"/>
  <c r="CM56" i="72"/>
  <c r="CA49" i="72"/>
  <c r="BW4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F22" i="72"/>
  <c r="F21" i="72"/>
  <c r="F20" i="72"/>
  <c r="F19" i="72"/>
  <c r="F18" i="72"/>
  <c r="CK49" i="72"/>
  <c r="CG49" i="72"/>
  <c r="CC49" i="72"/>
  <c r="BY49" i="72"/>
  <c r="BU49" i="72"/>
  <c r="BQ49" i="72"/>
  <c r="BM49" i="72"/>
  <c r="BI49" i="72"/>
  <c r="BE49" i="72"/>
  <c r="BA49" i="72"/>
  <c r="AW49" i="72"/>
  <c r="AS49" i="72"/>
  <c r="AO49" i="72"/>
  <c r="AK49" i="72"/>
  <c r="AG49" i="72"/>
  <c r="AC49" i="72"/>
  <c r="Y49" i="72"/>
  <c r="U49" i="72"/>
  <c r="S49" i="72"/>
  <c r="R49" i="72"/>
  <c r="Q49" i="72"/>
  <c r="P49" i="72"/>
  <c r="O49" i="72"/>
  <c r="N49" i="72"/>
  <c r="M49" i="72"/>
  <c r="L49" i="72"/>
  <c r="K49" i="72"/>
  <c r="J49" i="72"/>
  <c r="I49" i="72"/>
  <c r="H49" i="72"/>
  <c r="G49" i="72"/>
  <c r="CK48" i="72"/>
  <c r="CG48" i="72"/>
  <c r="CC48" i="72"/>
  <c r="BY48" i="72"/>
  <c r="BW48" i="72"/>
  <c r="BU48" i="72"/>
  <c r="BQ48" i="72"/>
  <c r="BM48" i="72"/>
  <c r="BI48" i="72"/>
  <c r="BE48" i="72"/>
  <c r="BA48" i="72"/>
  <c r="AW48" i="72"/>
  <c r="AS48" i="72"/>
  <c r="AO48" i="72"/>
  <c r="AK48" i="72"/>
  <c r="AG48" i="72"/>
  <c r="AC48" i="72"/>
  <c r="Y48" i="72"/>
  <c r="U48" i="72"/>
  <c r="S48" i="72"/>
  <c r="R48" i="72"/>
  <c r="Q48" i="72"/>
  <c r="P48" i="72"/>
  <c r="O48" i="72"/>
  <c r="N48" i="72"/>
  <c r="M48" i="72"/>
  <c r="L48" i="72"/>
  <c r="J48" i="72"/>
  <c r="I48" i="72"/>
  <c r="H48" i="72"/>
  <c r="G48" i="72"/>
  <c r="CB46" i="72"/>
  <c r="BX46" i="72"/>
  <c r="BT46" i="72"/>
  <c r="BP46" i="72"/>
  <c r="BL46" i="72"/>
  <c r="BH46" i="72"/>
  <c r="BD46" i="72"/>
  <c r="AZ46" i="72"/>
  <c r="AV46" i="72"/>
  <c r="AR46" i="72"/>
  <c r="AN46" i="72"/>
  <c r="AK46" i="72"/>
  <c r="AJ46" i="72"/>
  <c r="AG46" i="72"/>
  <c r="AC46" i="72"/>
  <c r="AB46" i="72"/>
  <c r="Y46" i="72"/>
  <c r="X46" i="72"/>
  <c r="U46" i="72"/>
  <c r="T46" i="72"/>
  <c r="S46" i="72"/>
  <c r="R46" i="72"/>
  <c r="Q46" i="72"/>
  <c r="P46" i="72"/>
  <c r="O46" i="72"/>
  <c r="N46" i="72"/>
  <c r="M46" i="72"/>
  <c r="L46" i="72"/>
  <c r="J46" i="72"/>
  <c r="I46" i="72"/>
  <c r="H46" i="72"/>
  <c r="G46" i="72"/>
  <c r="CM6" i="72"/>
  <c r="CM5" i="72"/>
  <c r="CM4" i="72"/>
  <c r="CM3" i="72"/>
  <c r="CM2" i="72"/>
  <c r="J8" i="17"/>
  <c r="K8" i="17" s="1"/>
  <c r="H27" i="39"/>
  <c r="C18" i="51" l="1"/>
  <c r="C8" i="51"/>
  <c r="C4" i="51"/>
  <c r="B22" i="86"/>
  <c r="C22" i="86" s="1"/>
  <c r="CM25" i="72"/>
  <c r="CM26" i="72"/>
  <c r="CM31" i="72"/>
  <c r="CM32" i="72"/>
  <c r="CM29" i="72"/>
  <c r="C32" i="86"/>
  <c r="C12" i="86"/>
  <c r="L16" i="66"/>
  <c r="H15" i="39"/>
  <c r="I15" i="94"/>
  <c r="AS46" i="72"/>
  <c r="BI46" i="72"/>
  <c r="BQ46" i="72"/>
  <c r="CC46" i="72"/>
  <c r="CK46" i="72"/>
  <c r="AE48" i="72"/>
  <c r="AQ48" i="72"/>
  <c r="AY48" i="72"/>
  <c r="BO48" i="72"/>
  <c r="CA48" i="72"/>
  <c r="CI48" i="72"/>
  <c r="Z49" i="72"/>
  <c r="AH49" i="72"/>
  <c r="AT49" i="72"/>
  <c r="BJ49" i="72"/>
  <c r="BV49" i="72"/>
  <c r="CL49" i="72"/>
  <c r="V46" i="72"/>
  <c r="Z46" i="72"/>
  <c r="AD46" i="72"/>
  <c r="AH46" i="72"/>
  <c r="AL46" i="72"/>
  <c r="AP46" i="72"/>
  <c r="AT46" i="72"/>
  <c r="AX46" i="72"/>
  <c r="BB46" i="72"/>
  <c r="BF46" i="72"/>
  <c r="BJ46" i="72"/>
  <c r="BN46" i="72"/>
  <c r="BR46" i="72"/>
  <c r="BV46" i="72"/>
  <c r="BZ46" i="72"/>
  <c r="CD46" i="72"/>
  <c r="CH46" i="72"/>
  <c r="CL46" i="72"/>
  <c r="T48" i="72"/>
  <c r="X48" i="72"/>
  <c r="AB48" i="72"/>
  <c r="AF48" i="72"/>
  <c r="AJ48" i="72"/>
  <c r="AN48" i="72"/>
  <c r="AR48" i="72"/>
  <c r="AV48" i="72"/>
  <c r="AZ48" i="72"/>
  <c r="BD48" i="72"/>
  <c r="BH48" i="72"/>
  <c r="BL48" i="72"/>
  <c r="BP48" i="72"/>
  <c r="BT48" i="72"/>
  <c r="BX48" i="72"/>
  <c r="CB48" i="72"/>
  <c r="CF48" i="72"/>
  <c r="CJ48" i="72"/>
  <c r="W49" i="72"/>
  <c r="AA49" i="72"/>
  <c r="AE49" i="72"/>
  <c r="AI49" i="72"/>
  <c r="AM49" i="72"/>
  <c r="AQ49" i="72"/>
  <c r="AU49" i="72"/>
  <c r="AY49" i="72"/>
  <c r="BC49" i="72"/>
  <c r="BG49" i="72"/>
  <c r="BK49" i="72"/>
  <c r="BO49" i="72"/>
  <c r="BS49" i="72"/>
  <c r="BW49" i="72"/>
  <c r="CE49" i="72"/>
  <c r="CI49" i="72"/>
  <c r="CM15" i="72"/>
  <c r="K46" i="72"/>
  <c r="K48" i="72"/>
  <c r="AO46" i="72"/>
  <c r="AW46" i="72"/>
  <c r="BE46" i="72"/>
  <c r="BM46" i="72"/>
  <c r="BY46" i="72"/>
  <c r="CG46" i="72"/>
  <c r="W48" i="72"/>
  <c r="AI48" i="72"/>
  <c r="AU48" i="72"/>
  <c r="BC48" i="72"/>
  <c r="BK48" i="72"/>
  <c r="CE48" i="72"/>
  <c r="V49" i="72"/>
  <c r="AD49" i="72"/>
  <c r="AP49" i="72"/>
  <c r="BF49" i="72"/>
  <c r="BN49" i="72"/>
  <c r="BZ49" i="72"/>
  <c r="CH49" i="72"/>
  <c r="W46" i="72"/>
  <c r="AA46" i="72"/>
  <c r="AE46" i="72"/>
  <c r="AI46" i="72"/>
  <c r="AM46" i="72"/>
  <c r="AQ46" i="72"/>
  <c r="AU46" i="72"/>
  <c r="AY46" i="72"/>
  <c r="BC46" i="72"/>
  <c r="BG46" i="72"/>
  <c r="BK46" i="72"/>
  <c r="BO46" i="72"/>
  <c r="BS46" i="72"/>
  <c r="CA46" i="72"/>
  <c r="CE46" i="72"/>
  <c r="CI46" i="72"/>
  <c r="CM12" i="72"/>
  <c r="T49" i="72"/>
  <c r="X49" i="72"/>
  <c r="AB49" i="72"/>
  <c r="AF49" i="72"/>
  <c r="AJ49" i="72"/>
  <c r="AN49" i="72"/>
  <c r="AR49" i="72"/>
  <c r="AV49" i="72"/>
  <c r="AZ49" i="72"/>
  <c r="BD49" i="72"/>
  <c r="BH49" i="72"/>
  <c r="BL49" i="72"/>
  <c r="BP49" i="72"/>
  <c r="BT49" i="72"/>
  <c r="BX49" i="72"/>
  <c r="CB49" i="72"/>
  <c r="CF49" i="72"/>
  <c r="CJ49" i="72"/>
  <c r="AF46" i="72"/>
  <c r="BU46" i="72"/>
  <c r="AA48" i="72"/>
  <c r="AM48" i="72"/>
  <c r="BG48" i="72"/>
  <c r="BS48" i="72"/>
  <c r="AL49" i="72"/>
  <c r="AX49" i="72"/>
  <c r="BR49" i="72"/>
  <c r="CD49" i="72"/>
  <c r="CF46" i="72"/>
  <c r="CJ46" i="72"/>
  <c r="V48" i="72"/>
  <c r="Z48" i="72"/>
  <c r="AD48" i="72"/>
  <c r="AH48" i="72"/>
  <c r="AL48" i="72"/>
  <c r="AP48" i="72"/>
  <c r="AT48" i="72"/>
  <c r="AX48" i="72"/>
  <c r="BF48" i="72"/>
  <c r="BJ48" i="72"/>
  <c r="BN48" i="72"/>
  <c r="BR48" i="72"/>
  <c r="BV48" i="72"/>
  <c r="BZ48" i="72"/>
  <c r="CD48" i="72"/>
  <c r="CH48" i="72"/>
  <c r="CL48" i="72"/>
  <c r="BA46" i="72"/>
  <c r="BB48" i="72"/>
  <c r="BB49" i="72"/>
  <c r="FV41" i="72"/>
  <c r="D45" i="86" l="1"/>
  <c r="C86" i="86"/>
  <c r="D87" i="86" s="1"/>
  <c r="E31" i="98" s="1"/>
  <c r="C60" i="86"/>
  <c r="D61" i="86" s="1"/>
  <c r="E25" i="98" s="1"/>
  <c r="C74" i="86"/>
  <c r="C44" i="86"/>
  <c r="B8" i="56"/>
  <c r="B8" i="91"/>
  <c r="M16" i="66"/>
  <c r="J15" i="94"/>
  <c r="I15" i="39"/>
  <c r="C8" i="56" s="1"/>
  <c r="CM49" i="72"/>
  <c r="CM46" i="72"/>
  <c r="CM48" i="72"/>
  <c r="D47" i="86" l="1"/>
  <c r="E22" i="98" s="1"/>
  <c r="D46" i="86"/>
  <c r="D75" i="86"/>
  <c r="E28" i="98" s="1"/>
  <c r="I14" i="80"/>
  <c r="H14" i="80"/>
  <c r="N16" i="66"/>
  <c r="J15" i="39"/>
  <c r="D8" i="56" s="1"/>
  <c r="K15" i="94"/>
  <c r="I19" i="105" l="1"/>
  <c r="J19" i="105"/>
  <c r="U19" i="105"/>
  <c r="M19" i="105"/>
  <c r="X19" i="105"/>
  <c r="P19" i="105"/>
  <c r="Z19" i="105"/>
  <c r="R19" i="105"/>
  <c r="N19" i="105"/>
  <c r="L19" i="105"/>
  <c r="S19" i="105"/>
  <c r="T19" i="105"/>
  <c r="W19" i="105"/>
  <c r="K19" i="105"/>
  <c r="Y19" i="105"/>
  <c r="O19" i="105"/>
  <c r="Q19" i="105"/>
  <c r="V19" i="105"/>
  <c r="H19" i="105"/>
  <c r="J14" i="80"/>
  <c r="O16" i="66"/>
  <c r="K15" i="39"/>
  <c r="L15" i="94"/>
  <c r="I18" i="66"/>
  <c r="M18" i="66"/>
  <c r="Q18" i="66"/>
  <c r="U18" i="66"/>
  <c r="Y18" i="66"/>
  <c r="J18" i="66"/>
  <c r="N18" i="66"/>
  <c r="R18" i="66"/>
  <c r="V18" i="66"/>
  <c r="Z18" i="66"/>
  <c r="K18" i="66"/>
  <c r="E6" i="57" s="1"/>
  <c r="C6" i="74" s="1"/>
  <c r="E6" i="74" s="1"/>
  <c r="F6" i="74" s="1"/>
  <c r="G6" i="74" s="1"/>
  <c r="H6" i="74" s="1"/>
  <c r="O18" i="66"/>
  <c r="S18" i="66"/>
  <c r="W18" i="66"/>
  <c r="H18" i="66"/>
  <c r="L18" i="66"/>
  <c r="P18" i="66"/>
  <c r="T18" i="66"/>
  <c r="X18" i="66"/>
  <c r="E8" i="56" l="1"/>
  <c r="G8" i="81"/>
  <c r="E8" i="81"/>
  <c r="C8" i="81"/>
  <c r="F8" i="81"/>
  <c r="D8" i="81"/>
  <c r="K14" i="80"/>
  <c r="L15" i="39"/>
  <c r="F8" i="56" s="1"/>
  <c r="M15" i="94"/>
  <c r="P16" i="66"/>
  <c r="H15" i="52"/>
  <c r="K15" i="52"/>
  <c r="J15" i="52"/>
  <c r="I15" i="52"/>
  <c r="E15" i="52"/>
  <c r="D15" i="52"/>
  <c r="C15" i="52"/>
  <c r="B15" i="52"/>
  <c r="K16" i="52" l="1"/>
  <c r="CR5" i="106" s="1"/>
  <c r="CR4" i="106"/>
  <c r="B16" i="52"/>
  <c r="CO5" i="83"/>
  <c r="CO4" i="72"/>
  <c r="J16" i="52"/>
  <c r="CQ5" i="106" s="1"/>
  <c r="CQ4" i="106"/>
  <c r="H16" i="52"/>
  <c r="CO5" i="106" s="1"/>
  <c r="CO4" i="106"/>
  <c r="C16" i="52"/>
  <c r="CP4" i="72"/>
  <c r="CP5" i="83"/>
  <c r="E16" i="52"/>
  <c r="CR4" i="72"/>
  <c r="CR5" i="83"/>
  <c r="D16" i="52"/>
  <c r="CQ4" i="72"/>
  <c r="CQ5" i="83"/>
  <c r="I16" i="52"/>
  <c r="CP5" i="106" s="1"/>
  <c r="CP4" i="106"/>
  <c r="L14" i="80"/>
  <c r="N15" i="94"/>
  <c r="M15" i="39"/>
  <c r="G8" i="56" s="1"/>
  <c r="Q16" i="66"/>
  <c r="K13" i="17"/>
  <c r="Q10" i="17"/>
  <c r="CR5" i="72" l="1"/>
  <c r="CR6" i="83"/>
  <c r="G51" i="83"/>
  <c r="BE51" i="83"/>
  <c r="BE53" i="83" s="1"/>
  <c r="Y51" i="83"/>
  <c r="Y53" i="83" s="1"/>
  <c r="BP51" i="83"/>
  <c r="BP53" i="83" s="1"/>
  <c r="T51" i="83"/>
  <c r="T53" i="83" s="1"/>
  <c r="CE51" i="83"/>
  <c r="CE53" i="83" s="1"/>
  <c r="V51" i="83"/>
  <c r="V53" i="83" s="1"/>
  <c r="BN51" i="83"/>
  <c r="BN53" i="83" s="1"/>
  <c r="AH51" i="83"/>
  <c r="AH53" i="83" s="1"/>
  <c r="CG51" i="83"/>
  <c r="CG53" i="83" s="1"/>
  <c r="AQ51" i="83"/>
  <c r="AQ53" i="83" s="1"/>
  <c r="BR51" i="83"/>
  <c r="BR53" i="83" s="1"/>
  <c r="AL51" i="83"/>
  <c r="AL53" i="83" s="1"/>
  <c r="BY51" i="83"/>
  <c r="BY53" i="83" s="1"/>
  <c r="CI51" i="83"/>
  <c r="CI53" i="83" s="1"/>
  <c r="AM51" i="83"/>
  <c r="AM53" i="83" s="1"/>
  <c r="BM51" i="83"/>
  <c r="BM53" i="83" s="1"/>
  <c r="AC51" i="83"/>
  <c r="AC53" i="83" s="1"/>
  <c r="BL51" i="83"/>
  <c r="BL53" i="83" s="1"/>
  <c r="BW51" i="83"/>
  <c r="BW53" i="83" s="1"/>
  <c r="Z51" i="83"/>
  <c r="Z53" i="83" s="1"/>
  <c r="AW51" i="83"/>
  <c r="AW53" i="83" s="1"/>
  <c r="M51" i="83"/>
  <c r="M53" i="83" s="1"/>
  <c r="BH51" i="83"/>
  <c r="BH53" i="83" s="1"/>
  <c r="P51" i="83"/>
  <c r="P53" i="83" s="1"/>
  <c r="BO51" i="83"/>
  <c r="BO53" i="83" s="1"/>
  <c r="R51" i="83"/>
  <c r="R53" i="83" s="1"/>
  <c r="CL51" i="83"/>
  <c r="CL53" i="83" s="1"/>
  <c r="BF51" i="83"/>
  <c r="BF53" i="83" s="1"/>
  <c r="BQ51" i="83"/>
  <c r="BQ53" i="83" s="1"/>
  <c r="CA51" i="83"/>
  <c r="CA53" i="83" s="1"/>
  <c r="AI51" i="83"/>
  <c r="AI53" i="83" s="1"/>
  <c r="BJ51" i="83"/>
  <c r="BJ53" i="83" s="1"/>
  <c r="BI51" i="83"/>
  <c r="BI53" i="83" s="1"/>
  <c r="BS51" i="83"/>
  <c r="BS53" i="83" s="1"/>
  <c r="AE51" i="83"/>
  <c r="AE53" i="83" s="1"/>
  <c r="BA51" i="83"/>
  <c r="BA53" i="83" s="1"/>
  <c r="U51" i="83"/>
  <c r="U53" i="83" s="1"/>
  <c r="CJ51" i="83"/>
  <c r="CJ53" i="83" s="1"/>
  <c r="BD51" i="83"/>
  <c r="BD53" i="83" s="1"/>
  <c r="BG51" i="83"/>
  <c r="BG53" i="83" s="1"/>
  <c r="AN51" i="83"/>
  <c r="AN53" i="83" s="1"/>
  <c r="CK51" i="83"/>
  <c r="CK53" i="83" s="1"/>
  <c r="AO51" i="83"/>
  <c r="AO53" i="83" s="1"/>
  <c r="CF51" i="83"/>
  <c r="CF53" i="83" s="1"/>
  <c r="AZ51" i="83"/>
  <c r="AZ53" i="83" s="1"/>
  <c r="L51" i="83"/>
  <c r="L53" i="83" s="1"/>
  <c r="K51" i="83"/>
  <c r="K53" i="83" s="1"/>
  <c r="N51" i="83"/>
  <c r="N53" i="83" s="1"/>
  <c r="CD51" i="83"/>
  <c r="CD53" i="83" s="1"/>
  <c r="AX51" i="83"/>
  <c r="AX53" i="83" s="1"/>
  <c r="Q51" i="83"/>
  <c r="Q53" i="83" s="1"/>
  <c r="BK51" i="83"/>
  <c r="BK53" i="83" s="1"/>
  <c r="AA51" i="83"/>
  <c r="AA53" i="83" s="1"/>
  <c r="CH51" i="83"/>
  <c r="CH53" i="83" s="1"/>
  <c r="BB51" i="83"/>
  <c r="BB53" i="83" s="1"/>
  <c r="I51" i="83"/>
  <c r="I53" i="83" s="1"/>
  <c r="AV51" i="83"/>
  <c r="AV53" i="83" s="1"/>
  <c r="BC51" i="83"/>
  <c r="BC53" i="83" s="1"/>
  <c r="W51" i="83"/>
  <c r="W53" i="83" s="1"/>
  <c r="AS51" i="83"/>
  <c r="AS53" i="83" s="1"/>
  <c r="CB51" i="83"/>
  <c r="CB53" i="83" s="1"/>
  <c r="AR51" i="83"/>
  <c r="AR53" i="83" s="1"/>
  <c r="S51" i="83"/>
  <c r="S53" i="83" s="1"/>
  <c r="X51" i="83"/>
  <c r="X53" i="83" s="1"/>
  <c r="BZ51" i="83"/>
  <c r="BZ53" i="83" s="1"/>
  <c r="BU51" i="83"/>
  <c r="BU53" i="83" s="1"/>
  <c r="AG51" i="83"/>
  <c r="AG53" i="83" s="1"/>
  <c r="BX51" i="83"/>
  <c r="BX53" i="83" s="1"/>
  <c r="AJ51" i="83"/>
  <c r="AJ53" i="83" s="1"/>
  <c r="H51" i="83"/>
  <c r="H53" i="83" s="1"/>
  <c r="J51" i="83"/>
  <c r="J53" i="83" s="1"/>
  <c r="BV51" i="83"/>
  <c r="BV53" i="83" s="1"/>
  <c r="AP51" i="83"/>
  <c r="AP53" i="83" s="1"/>
  <c r="AY51" i="83"/>
  <c r="AY53" i="83" s="1"/>
  <c r="O51" i="83"/>
  <c r="O53" i="83" s="1"/>
  <c r="AT51" i="83"/>
  <c r="AT53" i="83" s="1"/>
  <c r="AF51" i="83"/>
  <c r="AF53" i="83" s="1"/>
  <c r="AU51" i="83"/>
  <c r="AU53" i="83" s="1"/>
  <c r="CC51" i="83"/>
  <c r="CC53" i="83" s="1"/>
  <c r="AK51" i="83"/>
  <c r="AK53" i="83" s="1"/>
  <c r="BT51" i="83"/>
  <c r="BT53" i="83" s="1"/>
  <c r="AB51" i="83"/>
  <c r="AB53" i="83" s="1"/>
  <c r="AD51" i="83"/>
  <c r="AD53" i="83" s="1"/>
  <c r="CO6" i="83"/>
  <c r="CO5" i="72"/>
  <c r="G51" i="106"/>
  <c r="BR51" i="106"/>
  <c r="BR53" i="106" s="1"/>
  <c r="BR70" i="106" s="1"/>
  <c r="K51" i="106"/>
  <c r="K53" i="106" s="1"/>
  <c r="K70" i="106" s="1"/>
  <c r="U51" i="106"/>
  <c r="U53" i="106" s="1"/>
  <c r="U70" i="106" s="1"/>
  <c r="CD51" i="106"/>
  <c r="CD53" i="106" s="1"/>
  <c r="CD70" i="106" s="1"/>
  <c r="S51" i="106"/>
  <c r="S53" i="106" s="1"/>
  <c r="S70" i="106" s="1"/>
  <c r="BU51" i="106"/>
  <c r="BU53" i="106" s="1"/>
  <c r="BU70" i="106" s="1"/>
  <c r="AF51" i="106"/>
  <c r="AF53" i="106" s="1"/>
  <c r="AF70" i="106" s="1"/>
  <c r="AZ51" i="106"/>
  <c r="AZ53" i="106" s="1"/>
  <c r="AZ70" i="106" s="1"/>
  <c r="AG51" i="106"/>
  <c r="AG53" i="106" s="1"/>
  <c r="AG70" i="106" s="1"/>
  <c r="AC51" i="106"/>
  <c r="AC53" i="106" s="1"/>
  <c r="AC70" i="106" s="1"/>
  <c r="O51" i="106"/>
  <c r="O53" i="106" s="1"/>
  <c r="O70" i="106" s="1"/>
  <c r="AA51" i="106"/>
  <c r="AA53" i="106" s="1"/>
  <c r="AA70" i="106" s="1"/>
  <c r="AW51" i="106"/>
  <c r="AW53" i="106" s="1"/>
  <c r="AW70" i="106" s="1"/>
  <c r="N51" i="106"/>
  <c r="N53" i="106" s="1"/>
  <c r="N70" i="106" s="1"/>
  <c r="BK51" i="106"/>
  <c r="BK53" i="106" s="1"/>
  <c r="BK70" i="106" s="1"/>
  <c r="CB51" i="106"/>
  <c r="CB53" i="106" s="1"/>
  <c r="CB70" i="106" s="1"/>
  <c r="BF51" i="106"/>
  <c r="BF53" i="106" s="1"/>
  <c r="BF70" i="106" s="1"/>
  <c r="J51" i="106"/>
  <c r="J53" i="106" s="1"/>
  <c r="J70" i="106" s="1"/>
  <c r="CI51" i="106"/>
  <c r="CI53" i="106" s="1"/>
  <c r="CI70" i="106" s="1"/>
  <c r="AR51" i="106"/>
  <c r="AR53" i="106" s="1"/>
  <c r="AR70" i="106" s="1"/>
  <c r="I51" i="106"/>
  <c r="I53" i="106" s="1"/>
  <c r="I70" i="106" s="1"/>
  <c r="AU51" i="106"/>
  <c r="AU53" i="106" s="1"/>
  <c r="AU70" i="106" s="1"/>
  <c r="AJ51" i="106"/>
  <c r="AJ53" i="106" s="1"/>
  <c r="AJ70" i="106" s="1"/>
  <c r="BZ51" i="106"/>
  <c r="BZ53" i="106" s="1"/>
  <c r="BZ70" i="106" s="1"/>
  <c r="AI51" i="106"/>
  <c r="AI53" i="106" s="1"/>
  <c r="AI70" i="106" s="1"/>
  <c r="CK51" i="106"/>
  <c r="CK53" i="106" s="1"/>
  <c r="CK70" i="106" s="1"/>
  <c r="BT51" i="106"/>
  <c r="BT53" i="106" s="1"/>
  <c r="BT70" i="106" s="1"/>
  <c r="CF51" i="106"/>
  <c r="CF53" i="106" s="1"/>
  <c r="CF70" i="106" s="1"/>
  <c r="AM51" i="106"/>
  <c r="AM53" i="106" s="1"/>
  <c r="AM70" i="106" s="1"/>
  <c r="BM51" i="106"/>
  <c r="BM53" i="106" s="1"/>
  <c r="BM70" i="106" s="1"/>
  <c r="AO51" i="106"/>
  <c r="AO53" i="106" s="1"/>
  <c r="AO70" i="106" s="1"/>
  <c r="BX51" i="106"/>
  <c r="BX53" i="106" s="1"/>
  <c r="BX70" i="106" s="1"/>
  <c r="AH51" i="106"/>
  <c r="AH53" i="106" s="1"/>
  <c r="AH70" i="106" s="1"/>
  <c r="AL51" i="106"/>
  <c r="AL53" i="106" s="1"/>
  <c r="AL70" i="106" s="1"/>
  <c r="BL51" i="106"/>
  <c r="BL53" i="106" s="1"/>
  <c r="BL70" i="106" s="1"/>
  <c r="AB51" i="106"/>
  <c r="AB53" i="106" s="1"/>
  <c r="AB70" i="106" s="1"/>
  <c r="M51" i="106"/>
  <c r="M53" i="106" s="1"/>
  <c r="M70" i="106" s="1"/>
  <c r="BB51" i="106"/>
  <c r="BB53" i="106" s="1"/>
  <c r="BB70" i="106" s="1"/>
  <c r="BI51" i="106"/>
  <c r="BI53" i="106" s="1"/>
  <c r="BI70" i="106" s="1"/>
  <c r="BP51" i="106"/>
  <c r="BP53" i="106" s="1"/>
  <c r="BP70" i="106" s="1"/>
  <c r="CL51" i="106"/>
  <c r="CL53" i="106" s="1"/>
  <c r="CL70" i="106" s="1"/>
  <c r="AD51" i="106"/>
  <c r="AD53" i="106" s="1"/>
  <c r="AD70" i="106" s="1"/>
  <c r="CG51" i="106"/>
  <c r="CG53" i="106" s="1"/>
  <c r="CG70" i="106" s="1"/>
  <c r="Q51" i="106"/>
  <c r="Q53" i="106" s="1"/>
  <c r="Q70" i="106" s="1"/>
  <c r="AT51" i="106"/>
  <c r="AT53" i="106" s="1"/>
  <c r="AT70" i="106" s="1"/>
  <c r="R51" i="106"/>
  <c r="R53" i="106" s="1"/>
  <c r="R70" i="106" s="1"/>
  <c r="H51" i="106"/>
  <c r="H53" i="106" s="1"/>
  <c r="H70" i="106" s="1"/>
  <c r="CA51" i="106"/>
  <c r="CA53" i="106" s="1"/>
  <c r="CA70" i="106" s="1"/>
  <c r="BY51" i="106"/>
  <c r="BY53" i="106" s="1"/>
  <c r="BY70" i="106" s="1"/>
  <c r="X51" i="106"/>
  <c r="X53" i="106" s="1"/>
  <c r="X70" i="106" s="1"/>
  <c r="BO51" i="106"/>
  <c r="BO53" i="106" s="1"/>
  <c r="BO70" i="106" s="1"/>
  <c r="T51" i="106"/>
  <c r="T53" i="106" s="1"/>
  <c r="T70" i="106" s="1"/>
  <c r="BE51" i="106"/>
  <c r="BE53" i="106" s="1"/>
  <c r="BE70" i="106" s="1"/>
  <c r="BA51" i="106"/>
  <c r="BA53" i="106" s="1"/>
  <c r="BA70" i="106" s="1"/>
  <c r="BH51" i="106"/>
  <c r="BH53" i="106" s="1"/>
  <c r="BH70" i="106" s="1"/>
  <c r="AP51" i="106"/>
  <c r="AP53" i="106" s="1"/>
  <c r="AP70" i="106" s="1"/>
  <c r="BD51" i="106"/>
  <c r="BD53" i="106" s="1"/>
  <c r="BD70" i="106" s="1"/>
  <c r="AQ51" i="106"/>
  <c r="AQ53" i="106" s="1"/>
  <c r="AQ70" i="106" s="1"/>
  <c r="AV51" i="106"/>
  <c r="AV53" i="106" s="1"/>
  <c r="AV70" i="106" s="1"/>
  <c r="CE51" i="106"/>
  <c r="CE53" i="106" s="1"/>
  <c r="CE70" i="106" s="1"/>
  <c r="BN51" i="106"/>
  <c r="BN53" i="106" s="1"/>
  <c r="BN70" i="106" s="1"/>
  <c r="AN51" i="106"/>
  <c r="AN53" i="106" s="1"/>
  <c r="AN70" i="106" s="1"/>
  <c r="BQ51" i="106"/>
  <c r="BQ53" i="106" s="1"/>
  <c r="BQ70" i="106" s="1"/>
  <c r="CC51" i="106"/>
  <c r="CC53" i="106" s="1"/>
  <c r="CC70" i="106" s="1"/>
  <c r="AE51" i="106"/>
  <c r="AE53" i="106" s="1"/>
  <c r="AE70" i="106" s="1"/>
  <c r="Z51" i="106"/>
  <c r="Z53" i="106" s="1"/>
  <c r="Z70" i="106" s="1"/>
  <c r="Y51" i="106"/>
  <c r="Y53" i="106" s="1"/>
  <c r="Y70" i="106" s="1"/>
  <c r="L51" i="106"/>
  <c r="L53" i="106" s="1"/>
  <c r="L70" i="106" s="1"/>
  <c r="P51" i="106"/>
  <c r="P53" i="106" s="1"/>
  <c r="P70" i="106" s="1"/>
  <c r="BW51" i="106"/>
  <c r="BW53" i="106" s="1"/>
  <c r="BW70" i="106" s="1"/>
  <c r="CH51" i="106"/>
  <c r="CH53" i="106" s="1"/>
  <c r="CH70" i="106" s="1"/>
  <c r="AS51" i="106"/>
  <c r="AS53" i="106" s="1"/>
  <c r="AS70" i="106" s="1"/>
  <c r="AY51" i="106"/>
  <c r="AY53" i="106" s="1"/>
  <c r="AY70" i="106" s="1"/>
  <c r="BS51" i="106"/>
  <c r="BS53" i="106" s="1"/>
  <c r="BS70" i="106" s="1"/>
  <c r="W51" i="106"/>
  <c r="W53" i="106" s="1"/>
  <c r="W70" i="106" s="1"/>
  <c r="BC51" i="106"/>
  <c r="BC53" i="106" s="1"/>
  <c r="BC70" i="106" s="1"/>
  <c r="CJ51" i="106"/>
  <c r="CJ53" i="106" s="1"/>
  <c r="CJ70" i="106" s="1"/>
  <c r="AX51" i="106"/>
  <c r="AX53" i="106" s="1"/>
  <c r="AX70" i="106" s="1"/>
  <c r="AK51" i="106"/>
  <c r="AK53" i="106" s="1"/>
  <c r="AK70" i="106" s="1"/>
  <c r="BV51" i="106"/>
  <c r="BV53" i="106" s="1"/>
  <c r="BV70" i="106" s="1"/>
  <c r="BG51" i="106"/>
  <c r="BG53" i="106" s="1"/>
  <c r="BG70" i="106" s="1"/>
  <c r="V51" i="106"/>
  <c r="V53" i="106" s="1"/>
  <c r="V70" i="106" s="1"/>
  <c r="BJ51" i="106"/>
  <c r="BJ53" i="106" s="1"/>
  <c r="BJ70" i="106" s="1"/>
  <c r="CP6" i="83"/>
  <c r="CP5" i="72"/>
  <c r="CQ5" i="72"/>
  <c r="CQ6" i="83"/>
  <c r="G50" i="106"/>
  <c r="AB50" i="106"/>
  <c r="AB52" i="106" s="1"/>
  <c r="AB69" i="106" s="1"/>
  <c r="BV50" i="106"/>
  <c r="BV52" i="106" s="1"/>
  <c r="BV69" i="106" s="1"/>
  <c r="BD50" i="106"/>
  <c r="BD52" i="106" s="1"/>
  <c r="BD69" i="106" s="1"/>
  <c r="BG50" i="106"/>
  <c r="BG52" i="106" s="1"/>
  <c r="BG69" i="106" s="1"/>
  <c r="V50" i="106"/>
  <c r="V52" i="106" s="1"/>
  <c r="V69" i="106" s="1"/>
  <c r="CC50" i="106"/>
  <c r="CC52" i="106" s="1"/>
  <c r="CC69" i="106" s="1"/>
  <c r="BJ50" i="106"/>
  <c r="BJ52" i="106" s="1"/>
  <c r="BJ69" i="106" s="1"/>
  <c r="BK50" i="106"/>
  <c r="BK52" i="106" s="1"/>
  <c r="BK69" i="106" s="1"/>
  <c r="AK50" i="106"/>
  <c r="AK52" i="106" s="1"/>
  <c r="AK69" i="106" s="1"/>
  <c r="AU50" i="106"/>
  <c r="AU52" i="106" s="1"/>
  <c r="AU69" i="106" s="1"/>
  <c r="Z50" i="106"/>
  <c r="Z52" i="106" s="1"/>
  <c r="Z69" i="106" s="1"/>
  <c r="BC50" i="106"/>
  <c r="BC52" i="106" s="1"/>
  <c r="BC69" i="106" s="1"/>
  <c r="M50" i="106"/>
  <c r="M52" i="106" s="1"/>
  <c r="M69" i="106" s="1"/>
  <c r="BZ50" i="106"/>
  <c r="BZ52" i="106" s="1"/>
  <c r="BZ69" i="106" s="1"/>
  <c r="AI50" i="106"/>
  <c r="AI52" i="106" s="1"/>
  <c r="AI69" i="106" s="1"/>
  <c r="BR50" i="106"/>
  <c r="BR52" i="106" s="1"/>
  <c r="BR69" i="106" s="1"/>
  <c r="T50" i="106"/>
  <c r="T52" i="106" s="1"/>
  <c r="T69" i="106" s="1"/>
  <c r="CF50" i="106"/>
  <c r="CF52" i="106" s="1"/>
  <c r="CF69" i="106" s="1"/>
  <c r="K50" i="106"/>
  <c r="K52" i="106" s="1"/>
  <c r="K69" i="106" s="1"/>
  <c r="CD50" i="106"/>
  <c r="CD52" i="106" s="1"/>
  <c r="CD69" i="106" s="1"/>
  <c r="BU50" i="106"/>
  <c r="BU52" i="106" s="1"/>
  <c r="BU69" i="106" s="1"/>
  <c r="AF50" i="106"/>
  <c r="AF52" i="106" s="1"/>
  <c r="AF69" i="106" s="1"/>
  <c r="BX50" i="106"/>
  <c r="BX52" i="106" s="1"/>
  <c r="BX69" i="106" s="1"/>
  <c r="Q50" i="106"/>
  <c r="Q52" i="106" s="1"/>
  <c r="Q69" i="106" s="1"/>
  <c r="BO50" i="106"/>
  <c r="BO52" i="106" s="1"/>
  <c r="BO69" i="106" s="1"/>
  <c r="BA50" i="106"/>
  <c r="BA52" i="106" s="1"/>
  <c r="BA69" i="106" s="1"/>
  <c r="AL50" i="106"/>
  <c r="AL52" i="106" s="1"/>
  <c r="AL69" i="106" s="1"/>
  <c r="Y50" i="106"/>
  <c r="Y52" i="106" s="1"/>
  <c r="Y69" i="106" s="1"/>
  <c r="AS50" i="106"/>
  <c r="AS52" i="106" s="1"/>
  <c r="AS69" i="106" s="1"/>
  <c r="W50" i="106"/>
  <c r="W52" i="106" s="1"/>
  <c r="W69" i="106" s="1"/>
  <c r="CJ50" i="106"/>
  <c r="CJ52" i="106" s="1"/>
  <c r="CJ69" i="106" s="1"/>
  <c r="AC50" i="106"/>
  <c r="AC52" i="106" s="1"/>
  <c r="AC69" i="106" s="1"/>
  <c r="AG50" i="106"/>
  <c r="AG52" i="106" s="1"/>
  <c r="AG69" i="106" s="1"/>
  <c r="BP50" i="106"/>
  <c r="BP52" i="106" s="1"/>
  <c r="BP69" i="106" s="1"/>
  <c r="O50" i="106"/>
  <c r="O52" i="106" s="1"/>
  <c r="O69" i="106" s="1"/>
  <c r="CG50" i="106"/>
  <c r="CG52" i="106" s="1"/>
  <c r="CG69" i="106" s="1"/>
  <c r="AA50" i="106"/>
  <c r="AA52" i="106" s="1"/>
  <c r="AA69" i="106" s="1"/>
  <c r="AW50" i="106"/>
  <c r="AW52" i="106" s="1"/>
  <c r="AW69" i="106" s="1"/>
  <c r="N50" i="106"/>
  <c r="N52" i="106" s="1"/>
  <c r="N69" i="106" s="1"/>
  <c r="CB50" i="106"/>
  <c r="CB52" i="106" s="1"/>
  <c r="CB69" i="106" s="1"/>
  <c r="BF50" i="106"/>
  <c r="BF52" i="106" s="1"/>
  <c r="BF69" i="106" s="1"/>
  <c r="J50" i="106"/>
  <c r="J52" i="106" s="1"/>
  <c r="J69" i="106" s="1"/>
  <c r="CA50" i="106"/>
  <c r="CA52" i="106" s="1"/>
  <c r="CA69" i="106" s="1"/>
  <c r="AH50" i="106"/>
  <c r="AH52" i="106" s="1"/>
  <c r="AH69" i="106" s="1"/>
  <c r="AT50" i="106"/>
  <c r="AT52" i="106" s="1"/>
  <c r="AT69" i="106" s="1"/>
  <c r="R50" i="106"/>
  <c r="R52" i="106" s="1"/>
  <c r="R69" i="106" s="1"/>
  <c r="L50" i="106"/>
  <c r="L52" i="106" s="1"/>
  <c r="L69" i="106" s="1"/>
  <c r="BS50" i="106"/>
  <c r="BS52" i="106" s="1"/>
  <c r="BS69" i="106" s="1"/>
  <c r="AZ50" i="106"/>
  <c r="AZ52" i="106" s="1"/>
  <c r="AZ69" i="106" s="1"/>
  <c r="AJ50" i="106"/>
  <c r="AJ52" i="106" s="1"/>
  <c r="AJ69" i="106" s="1"/>
  <c r="CK50" i="106"/>
  <c r="CK52" i="106" s="1"/>
  <c r="CK69" i="106" s="1"/>
  <c r="BT50" i="106"/>
  <c r="BT52" i="106" s="1"/>
  <c r="BT69" i="106" s="1"/>
  <c r="BH50" i="106"/>
  <c r="BH52" i="106" s="1"/>
  <c r="BH69" i="106" s="1"/>
  <c r="AM50" i="106"/>
  <c r="AM52" i="106" s="1"/>
  <c r="AM69" i="106" s="1"/>
  <c r="BM50" i="106"/>
  <c r="BM52" i="106" s="1"/>
  <c r="BM69" i="106" s="1"/>
  <c r="AR50" i="106"/>
  <c r="AR52" i="106" s="1"/>
  <c r="AR69" i="106" s="1"/>
  <c r="AO50" i="106"/>
  <c r="AO52" i="106" s="1"/>
  <c r="AO69" i="106" s="1"/>
  <c r="H50" i="106"/>
  <c r="H52" i="106" s="1"/>
  <c r="H69" i="106" s="1"/>
  <c r="BY50" i="106"/>
  <c r="BY52" i="106" s="1"/>
  <c r="BY69" i="106" s="1"/>
  <c r="CI50" i="106"/>
  <c r="CI52" i="106" s="1"/>
  <c r="CI69" i="106" s="1"/>
  <c r="I50" i="106"/>
  <c r="I52" i="106" s="1"/>
  <c r="I69" i="106" s="1"/>
  <c r="BW50" i="106"/>
  <c r="BW52" i="106" s="1"/>
  <c r="BW69" i="106" s="1"/>
  <c r="BB50" i="106"/>
  <c r="BB52" i="106" s="1"/>
  <c r="BB69" i="106" s="1"/>
  <c r="BI50" i="106"/>
  <c r="BI52" i="106" s="1"/>
  <c r="BI69" i="106" s="1"/>
  <c r="CL50" i="106"/>
  <c r="CL52" i="106" s="1"/>
  <c r="CL69" i="106" s="1"/>
  <c r="AD50" i="106"/>
  <c r="AD52" i="106" s="1"/>
  <c r="AD69" i="106" s="1"/>
  <c r="U50" i="106"/>
  <c r="U52" i="106" s="1"/>
  <c r="U69" i="106" s="1"/>
  <c r="BL50" i="106"/>
  <c r="BL52" i="106" s="1"/>
  <c r="BL69" i="106" s="1"/>
  <c r="AE50" i="106"/>
  <c r="AE52" i="106" s="1"/>
  <c r="AE69" i="106" s="1"/>
  <c r="BE50" i="106"/>
  <c r="BE52" i="106" s="1"/>
  <c r="BE69" i="106" s="1"/>
  <c r="AP50" i="106"/>
  <c r="AP52" i="106" s="1"/>
  <c r="AP69" i="106" s="1"/>
  <c r="CH50" i="106"/>
  <c r="CH52" i="106" s="1"/>
  <c r="CH69" i="106" s="1"/>
  <c r="AY50" i="106"/>
  <c r="AY52" i="106" s="1"/>
  <c r="AY69" i="106" s="1"/>
  <c r="S50" i="106"/>
  <c r="S52" i="106" s="1"/>
  <c r="S69" i="106" s="1"/>
  <c r="AQ50" i="106"/>
  <c r="AQ52" i="106" s="1"/>
  <c r="AQ69" i="106" s="1"/>
  <c r="AV50" i="106"/>
  <c r="AV52" i="106" s="1"/>
  <c r="AV69" i="106" s="1"/>
  <c r="CE50" i="106"/>
  <c r="CE52" i="106" s="1"/>
  <c r="CE69" i="106" s="1"/>
  <c r="BN50" i="106"/>
  <c r="BN52" i="106" s="1"/>
  <c r="BN69" i="106" s="1"/>
  <c r="X50" i="106"/>
  <c r="X52" i="106" s="1"/>
  <c r="X69" i="106" s="1"/>
  <c r="AN50" i="106"/>
  <c r="AN52" i="106" s="1"/>
  <c r="AN69" i="106" s="1"/>
  <c r="BQ50" i="106"/>
  <c r="BQ52" i="106" s="1"/>
  <c r="BQ69" i="106" s="1"/>
  <c r="P50" i="106"/>
  <c r="P52" i="106" s="1"/>
  <c r="P69" i="106" s="1"/>
  <c r="AX50" i="106"/>
  <c r="AX52" i="106" s="1"/>
  <c r="AX69" i="106" s="1"/>
  <c r="M14" i="80"/>
  <c r="R16" i="66"/>
  <c r="O15" i="94"/>
  <c r="N15" i="39"/>
  <c r="H8" i="56" s="1"/>
  <c r="Q14" i="17"/>
  <c r="E8" i="51"/>
  <c r="H28" i="66"/>
  <c r="I28" i="66" s="1"/>
  <c r="J28" i="66" s="1"/>
  <c r="K28" i="66" s="1"/>
  <c r="L28" i="66" s="1"/>
  <c r="M28" i="66" s="1"/>
  <c r="N28" i="66" s="1"/>
  <c r="O28" i="66" s="1"/>
  <c r="P28" i="66" s="1"/>
  <c r="Q28" i="66" s="1"/>
  <c r="R28" i="66" s="1"/>
  <c r="S28" i="66" s="1"/>
  <c r="T28" i="66" s="1"/>
  <c r="U28" i="66" s="1"/>
  <c r="V28" i="66" s="1"/>
  <c r="W28" i="66" s="1"/>
  <c r="X28" i="66" s="1"/>
  <c r="Y28" i="66" s="1"/>
  <c r="Z28" i="66" s="1"/>
  <c r="D39" i="16"/>
  <c r="C46" i="16" s="1"/>
  <c r="F24" i="16"/>
  <c r="G52" i="83" l="1"/>
  <c r="BY52" i="83"/>
  <c r="BY54" i="83" s="1"/>
  <c r="AF52" i="83"/>
  <c r="AF54" i="83" s="1"/>
  <c r="CI52" i="83"/>
  <c r="CI54" i="83" s="1"/>
  <c r="AM52" i="83"/>
  <c r="AM54" i="83" s="1"/>
  <c r="BM52" i="83"/>
  <c r="BM54" i="83" s="1"/>
  <c r="AC52" i="83"/>
  <c r="AC54" i="83" s="1"/>
  <c r="BT52" i="83"/>
  <c r="BT54" i="83" s="1"/>
  <c r="AB52" i="83"/>
  <c r="AB54" i="83" s="1"/>
  <c r="BW52" i="83"/>
  <c r="BW54" i="83" s="1"/>
  <c r="BB52" i="83"/>
  <c r="BB54" i="83" s="1"/>
  <c r="AW52" i="83"/>
  <c r="AW54" i="83" s="1"/>
  <c r="M52" i="83"/>
  <c r="M54" i="83" s="1"/>
  <c r="BP52" i="83"/>
  <c r="BP54" i="83" s="1"/>
  <c r="T52" i="83"/>
  <c r="T54" i="83" s="1"/>
  <c r="BO52" i="83"/>
  <c r="BO54" i="83" s="1"/>
  <c r="R52" i="83"/>
  <c r="R54" i="83" s="1"/>
  <c r="CL52" i="83"/>
  <c r="CL54" i="83" s="1"/>
  <c r="BF52" i="83"/>
  <c r="BF54" i="83" s="1"/>
  <c r="BQ52" i="83"/>
  <c r="BQ54" i="83" s="1"/>
  <c r="CA52" i="83"/>
  <c r="CA54" i="83" s="1"/>
  <c r="AI52" i="83"/>
  <c r="AI54" i="83" s="1"/>
  <c r="BJ52" i="83"/>
  <c r="BJ54" i="83" s="1"/>
  <c r="Z52" i="83"/>
  <c r="Z54" i="83" s="1"/>
  <c r="BI52" i="83"/>
  <c r="BI54" i="83" s="1"/>
  <c r="BS52" i="83"/>
  <c r="BS54" i="83" s="1"/>
  <c r="AE52" i="83"/>
  <c r="AE54" i="83" s="1"/>
  <c r="BA52" i="83"/>
  <c r="BA54" i="83" s="1"/>
  <c r="U52" i="83"/>
  <c r="U54" i="83" s="1"/>
  <c r="BL52" i="83"/>
  <c r="BL54" i="83" s="1"/>
  <c r="BG52" i="83"/>
  <c r="BG54" i="83" s="1"/>
  <c r="CH52" i="83"/>
  <c r="CH54" i="83" s="1"/>
  <c r="CK52" i="83"/>
  <c r="CK54" i="83" s="1"/>
  <c r="AO52" i="83"/>
  <c r="AO54" i="83" s="1"/>
  <c r="BH52" i="83"/>
  <c r="BH54" i="83" s="1"/>
  <c r="P52" i="83"/>
  <c r="P54" i="83" s="1"/>
  <c r="K52" i="83"/>
  <c r="K54" i="83" s="1"/>
  <c r="N52" i="83"/>
  <c r="N54" i="83" s="1"/>
  <c r="CD52" i="83"/>
  <c r="CD54" i="83" s="1"/>
  <c r="AX52" i="83"/>
  <c r="AX54" i="83" s="1"/>
  <c r="Q52" i="83"/>
  <c r="Q54" i="83" s="1"/>
  <c r="BK52" i="83"/>
  <c r="BK54" i="83" s="1"/>
  <c r="AA52" i="83"/>
  <c r="AA54" i="83" s="1"/>
  <c r="I52" i="83"/>
  <c r="I54" i="83" s="1"/>
  <c r="BC52" i="83"/>
  <c r="BC54" i="83" s="1"/>
  <c r="W52" i="83"/>
  <c r="W54" i="83" s="1"/>
  <c r="AS52" i="83"/>
  <c r="AS54" i="83" s="1"/>
  <c r="CJ52" i="83"/>
  <c r="CJ54" i="83" s="1"/>
  <c r="BD52" i="83"/>
  <c r="BD54" i="83" s="1"/>
  <c r="S52" i="83"/>
  <c r="S54" i="83" s="1"/>
  <c r="AN52" i="83"/>
  <c r="AN54" i="83" s="1"/>
  <c r="BU52" i="83"/>
  <c r="BU54" i="83" s="1"/>
  <c r="AG52" i="83"/>
  <c r="AG54" i="83" s="1"/>
  <c r="CF52" i="83"/>
  <c r="CF54" i="83" s="1"/>
  <c r="AZ52" i="83"/>
  <c r="AZ54" i="83" s="1"/>
  <c r="L52" i="83"/>
  <c r="L54" i="83" s="1"/>
  <c r="J52" i="83"/>
  <c r="J54" i="83" s="1"/>
  <c r="BV52" i="83"/>
  <c r="BV54" i="83" s="1"/>
  <c r="AP52" i="83"/>
  <c r="AP54" i="83" s="1"/>
  <c r="AY52" i="83"/>
  <c r="AY54" i="83" s="1"/>
  <c r="O52" i="83"/>
  <c r="O54" i="83" s="1"/>
  <c r="BZ52" i="83"/>
  <c r="BZ54" i="83" s="1"/>
  <c r="AT52" i="83"/>
  <c r="AT54" i="83" s="1"/>
  <c r="AV52" i="83"/>
  <c r="AV54" i="83" s="1"/>
  <c r="AU52" i="83"/>
  <c r="AU54" i="83" s="1"/>
  <c r="CC52" i="83"/>
  <c r="CC54" i="83" s="1"/>
  <c r="AK52" i="83"/>
  <c r="AK54" i="83" s="1"/>
  <c r="CB52" i="83"/>
  <c r="CB54" i="83" s="1"/>
  <c r="AR52" i="83"/>
  <c r="AR54" i="83" s="1"/>
  <c r="AD52" i="83"/>
  <c r="AD54" i="83" s="1"/>
  <c r="X52" i="83"/>
  <c r="X54" i="83" s="1"/>
  <c r="BR52" i="83"/>
  <c r="BR54" i="83" s="1"/>
  <c r="BE52" i="83"/>
  <c r="BE54" i="83" s="1"/>
  <c r="Y52" i="83"/>
  <c r="Y54" i="83" s="1"/>
  <c r="BX52" i="83"/>
  <c r="BX54" i="83" s="1"/>
  <c r="AJ52" i="83"/>
  <c r="AJ54" i="83" s="1"/>
  <c r="H52" i="83"/>
  <c r="H54" i="83" s="1"/>
  <c r="CE52" i="83"/>
  <c r="CE54" i="83" s="1"/>
  <c r="V52" i="83"/>
  <c r="V54" i="83" s="1"/>
  <c r="BN52" i="83"/>
  <c r="BN54" i="83" s="1"/>
  <c r="AH52" i="83"/>
  <c r="AH54" i="83" s="1"/>
  <c r="CG52" i="83"/>
  <c r="CG54" i="83" s="1"/>
  <c r="AQ52" i="83"/>
  <c r="AQ54" i="83" s="1"/>
  <c r="AL52" i="83"/>
  <c r="AL54" i="83" s="1"/>
  <c r="G53" i="83"/>
  <c r="CM51" i="83"/>
  <c r="G52" i="106"/>
  <c r="CM50" i="106"/>
  <c r="G53" i="106"/>
  <c r="CM51" i="106"/>
  <c r="N14" i="80"/>
  <c r="P15" i="94"/>
  <c r="O15" i="39"/>
  <c r="I8" i="56" s="1"/>
  <c r="S16" i="66"/>
  <c r="H39" i="16"/>
  <c r="H5" i="16" s="1"/>
  <c r="Q11" i="17"/>
  <c r="Q9" i="17"/>
  <c r="CM52" i="106" l="1"/>
  <c r="G69" i="106"/>
  <c r="CM69" i="106" s="1"/>
  <c r="CM53" i="83"/>
  <c r="G70" i="106"/>
  <c r="CM70" i="106" s="1"/>
  <c r="CM53" i="106"/>
  <c r="G54" i="83"/>
  <c r="CM52" i="83"/>
  <c r="O14" i="80"/>
  <c r="Q15" i="94"/>
  <c r="P15" i="39"/>
  <c r="J8" i="56" s="1"/>
  <c r="T16" i="66"/>
  <c r="G69" i="83" l="1"/>
  <c r="CM54" i="83"/>
  <c r="D3" i="86"/>
  <c r="D26" i="86" s="1"/>
  <c r="D25" i="86" s="1"/>
  <c r="D33" i="86" s="1"/>
  <c r="D25" i="79"/>
  <c r="D24" i="79" s="1"/>
  <c r="D2" i="86"/>
  <c r="C107" i="100"/>
  <c r="E107" i="100" s="1"/>
  <c r="E106" i="100" s="1"/>
  <c r="P14" i="80"/>
  <c r="U16" i="66"/>
  <c r="R15" i="94"/>
  <c r="Q15" i="39"/>
  <c r="K8" i="56" s="1"/>
  <c r="P8" i="17"/>
  <c r="Q8" i="17" s="1"/>
  <c r="Q12" i="17" s="1"/>
  <c r="B9" i="60"/>
  <c r="B5" i="59"/>
  <c r="F106" i="100" l="1"/>
  <c r="G106" i="100" s="1"/>
  <c r="H106" i="100" s="1"/>
  <c r="I106" i="100" s="1"/>
  <c r="J106" i="100" s="1"/>
  <c r="K106" i="100" s="1"/>
  <c r="L106" i="100" s="1"/>
  <c r="M106" i="100" s="1"/>
  <c r="N106" i="100" s="1"/>
  <c r="O106" i="100" s="1"/>
  <c r="P106" i="100" s="1"/>
  <c r="Q106" i="100" s="1"/>
  <c r="R106" i="100" s="1"/>
  <c r="S106" i="100" s="1"/>
  <c r="T106" i="100" s="1"/>
  <c r="U106" i="100" s="1"/>
  <c r="V106" i="100" s="1"/>
  <c r="W106" i="100" s="1"/>
  <c r="X106" i="100" s="1"/>
  <c r="D6" i="86"/>
  <c r="D5" i="86" s="1"/>
  <c r="D13" i="86" s="1"/>
  <c r="D16" i="86"/>
  <c r="D15" i="86" s="1"/>
  <c r="D23" i="86" s="1"/>
  <c r="E24" i="79"/>
  <c r="I14" i="108" s="1"/>
  <c r="H14" i="108"/>
  <c r="D23" i="79"/>
  <c r="B11" i="58"/>
  <c r="Q14" i="80"/>
  <c r="S15" i="94"/>
  <c r="R15" i="39"/>
  <c r="V16" i="66"/>
  <c r="Q16" i="17"/>
  <c r="H7" i="16"/>
  <c r="D5" i="16"/>
  <c r="H13" i="16"/>
  <c r="H15" i="16"/>
  <c r="H16" i="16"/>
  <c r="H14" i="16"/>
  <c r="H10" i="16"/>
  <c r="H8" i="16"/>
  <c r="H6" i="16"/>
  <c r="H9" i="16"/>
  <c r="G5" i="47"/>
  <c r="G7" i="47"/>
  <c r="G4" i="47"/>
  <c r="F24" i="79" l="1"/>
  <c r="D37" i="79"/>
  <c r="D35" i="79" s="1"/>
  <c r="R14" i="80"/>
  <c r="T15" i="94"/>
  <c r="S15" i="39"/>
  <c r="W16" i="66"/>
  <c r="H19" i="16"/>
  <c r="H18" i="16" s="1"/>
  <c r="H11" i="16"/>
  <c r="H4" i="16" s="1"/>
  <c r="H17" i="16"/>
  <c r="H12" i="16" s="1"/>
  <c r="D14" i="16"/>
  <c r="D13" i="16"/>
  <c r="D9" i="16"/>
  <c r="D16" i="16"/>
  <c r="D7" i="16"/>
  <c r="D6" i="16"/>
  <c r="D19" i="16"/>
  <c r="D15" i="16"/>
  <c r="D11" i="16"/>
  <c r="D10" i="16"/>
  <c r="D17" i="16"/>
  <c r="D8" i="16"/>
  <c r="D38" i="79" l="1"/>
  <c r="M18" i="108"/>
  <c r="U18" i="108"/>
  <c r="N18" i="108"/>
  <c r="V18" i="108"/>
  <c r="J18" i="108"/>
  <c r="L18" i="108"/>
  <c r="O18" i="108"/>
  <c r="W18" i="108"/>
  <c r="I18" i="108"/>
  <c r="Q18" i="108"/>
  <c r="R18" i="108"/>
  <c r="K18" i="108"/>
  <c r="S18" i="108"/>
  <c r="AA18" i="108"/>
  <c r="T18" i="108"/>
  <c r="P18" i="108"/>
  <c r="X18" i="108"/>
  <c r="Y18" i="108"/>
  <c r="Z18" i="108"/>
  <c r="H18" i="108"/>
  <c r="G24" i="79"/>
  <c r="J14" i="108"/>
  <c r="S14" i="80"/>
  <c r="X16" i="66"/>
  <c r="U15" i="94"/>
  <c r="T15" i="39"/>
  <c r="H3" i="16"/>
  <c r="D12" i="16"/>
  <c r="E13" i="99" s="1" a="1"/>
  <c r="E13" i="99" s="1"/>
  <c r="J19" i="108" l="1"/>
  <c r="H24" i="79"/>
  <c r="K14" i="108"/>
  <c r="G18" i="108"/>
  <c r="H19" i="108"/>
  <c r="H21" i="108" s="1"/>
  <c r="I19" i="108"/>
  <c r="I21" i="108" s="1"/>
  <c r="T14" i="80"/>
  <c r="Y16" i="66"/>
  <c r="V15" i="94"/>
  <c r="U15" i="39"/>
  <c r="H21" i="16"/>
  <c r="H22" i="108" l="1"/>
  <c r="H24" i="108"/>
  <c r="G17" i="108"/>
  <c r="J21" i="108"/>
  <c r="G16" i="108"/>
  <c r="G15" i="108"/>
  <c r="G14" i="108"/>
  <c r="I24" i="108"/>
  <c r="I22" i="108"/>
  <c r="K19" i="108"/>
  <c r="K21" i="108" s="1"/>
  <c r="I24" i="79"/>
  <c r="L14" i="108"/>
  <c r="C5" i="59"/>
  <c r="C4" i="59" s="1"/>
  <c r="B5" i="60" s="1"/>
  <c r="F7" i="60" s="1"/>
  <c r="E36" i="100"/>
  <c r="E37" i="100" s="1"/>
  <c r="E35" i="100" s="1"/>
  <c r="U14" i="80"/>
  <c r="W15" i="94"/>
  <c r="V15" i="39"/>
  <c r="Z16" i="66"/>
  <c r="Q19" i="17"/>
  <c r="G8" i="66"/>
  <c r="C3" i="59" l="1"/>
  <c r="D8" i="60"/>
  <c r="F8" i="60"/>
  <c r="H8" i="60"/>
  <c r="J8" i="60"/>
  <c r="I7" i="60"/>
  <c r="I9" i="60" s="1"/>
  <c r="C8" i="60"/>
  <c r="G8" i="60"/>
  <c r="B10" i="60"/>
  <c r="B11" i="60" s="1"/>
  <c r="B12" i="60" s="1"/>
  <c r="E13" i="57" s="1"/>
  <c r="I28" i="108"/>
  <c r="I27" i="108"/>
  <c r="G7" i="60"/>
  <c r="E7" i="60"/>
  <c r="E9" i="60" s="1"/>
  <c r="L19" i="108"/>
  <c r="L21" i="108" s="1"/>
  <c r="C7" i="60"/>
  <c r="C9" i="60" s="1"/>
  <c r="E8" i="60"/>
  <c r="J24" i="79"/>
  <c r="M14" i="108"/>
  <c r="J22" i="108"/>
  <c r="J24" i="108"/>
  <c r="J7" i="60"/>
  <c r="J9" i="60" s="1"/>
  <c r="K24" i="108"/>
  <c r="K22" i="108"/>
  <c r="C5" i="60"/>
  <c r="H28" i="108"/>
  <c r="H27" i="108"/>
  <c r="H29" i="108"/>
  <c r="I8" i="60"/>
  <c r="D7" i="60"/>
  <c r="H7" i="60"/>
  <c r="H9" i="60" s="1"/>
  <c r="D9" i="60"/>
  <c r="C14" i="74"/>
  <c r="E14" i="74" s="1"/>
  <c r="E8" i="66"/>
  <c r="E26" i="66" s="1"/>
  <c r="E14" i="57"/>
  <c r="V14" i="80"/>
  <c r="X15" i="94"/>
  <c r="W15" i="39"/>
  <c r="C8" i="66"/>
  <c r="C26" i="66" s="1"/>
  <c r="G9" i="66"/>
  <c r="D8" i="66"/>
  <c r="D9" i="66" s="1"/>
  <c r="F8" i="66"/>
  <c r="F9" i="66" s="1"/>
  <c r="F9" i="60"/>
  <c r="C10" i="60"/>
  <c r="C6" i="60"/>
  <c r="G9" i="60"/>
  <c r="C14" i="93" l="1"/>
  <c r="E14" i="93" s="1"/>
  <c r="F14" i="93" s="1"/>
  <c r="H14" i="93" s="1"/>
  <c r="K27" i="108"/>
  <c r="K28" i="108"/>
  <c r="L24" i="108"/>
  <c r="L22" i="108"/>
  <c r="H38" i="108"/>
  <c r="H40" i="108" s="1"/>
  <c r="I29" i="108"/>
  <c r="H37" i="108"/>
  <c r="H39" i="108" s="1"/>
  <c r="J28" i="108"/>
  <c r="J27" i="108"/>
  <c r="M19" i="108"/>
  <c r="M21" i="108" s="1"/>
  <c r="K24" i="79"/>
  <c r="N14" i="108"/>
  <c r="G14" i="93"/>
  <c r="C13" i="74"/>
  <c r="E13" i="74" s="1"/>
  <c r="F13" i="74" s="1"/>
  <c r="G13" i="74" s="1"/>
  <c r="H13" i="74" s="1"/>
  <c r="C13" i="93"/>
  <c r="E13" i="93" s="1"/>
  <c r="F13" i="93" s="1"/>
  <c r="G13" i="93" s="1"/>
  <c r="H13" i="93" s="1"/>
  <c r="E9" i="66"/>
  <c r="F14" i="74"/>
  <c r="H14" i="74" s="1"/>
  <c r="G14" i="74"/>
  <c r="W14" i="80"/>
  <c r="Y15" i="94"/>
  <c r="X15" i="39"/>
  <c r="C9" i="66"/>
  <c r="D26" i="66"/>
  <c r="F26" i="66"/>
  <c r="C11" i="60"/>
  <c r="C12" i="60" s="1"/>
  <c r="D5" i="60"/>
  <c r="N19" i="108" l="1"/>
  <c r="N21" i="108" s="1"/>
  <c r="J29" i="108"/>
  <c r="I38" i="108"/>
  <c r="I40" i="108" s="1"/>
  <c r="I37" i="108"/>
  <c r="I39" i="108" s="1"/>
  <c r="M22" i="108"/>
  <c r="M24" i="108"/>
  <c r="L24" i="79"/>
  <c r="O14" i="108"/>
  <c r="L27" i="108"/>
  <c r="L28" i="108"/>
  <c r="X14" i="80"/>
  <c r="Z15" i="94"/>
  <c r="Y15" i="39"/>
  <c r="D10" i="60"/>
  <c r="D6" i="60"/>
  <c r="M24" i="79" l="1"/>
  <c r="P14" i="108"/>
  <c r="M28" i="108"/>
  <c r="M27" i="108"/>
  <c r="J38" i="108"/>
  <c r="J40" i="108" s="1"/>
  <c r="J37" i="108"/>
  <c r="J39" i="108" s="1"/>
  <c r="K29" i="108"/>
  <c r="N24" i="108"/>
  <c r="N22" i="108"/>
  <c r="O19" i="108"/>
  <c r="O21" i="108" s="1"/>
  <c r="Y14" i="80"/>
  <c r="Z15" i="39"/>
  <c r="D11" i="60"/>
  <c r="D12" i="60" s="1"/>
  <c r="E5" i="60"/>
  <c r="L29" i="108" l="1"/>
  <c r="K38" i="108"/>
  <c r="K40" i="108" s="1"/>
  <c r="K37" i="108"/>
  <c r="K39" i="108" s="1"/>
  <c r="O24" i="108"/>
  <c r="O22" i="108"/>
  <c r="N28" i="108"/>
  <c r="N27" i="108"/>
  <c r="P19" i="108"/>
  <c r="P21" i="108" s="1"/>
  <c r="N24" i="79"/>
  <c r="Q14" i="108"/>
  <c r="Z14" i="80"/>
  <c r="E10" i="60"/>
  <c r="E6" i="60"/>
  <c r="O28" i="108" l="1"/>
  <c r="O27" i="108"/>
  <c r="Q19" i="108"/>
  <c r="Q21" i="108" s="1"/>
  <c r="O24" i="79"/>
  <c r="R14" i="108"/>
  <c r="L38" i="108"/>
  <c r="L40" i="108" s="1"/>
  <c r="M29" i="108"/>
  <c r="L37" i="108"/>
  <c r="L39" i="108" s="1"/>
  <c r="P22" i="108"/>
  <c r="P24" i="108"/>
  <c r="F5" i="60"/>
  <c r="E11" i="60"/>
  <c r="E12" i="60" s="1"/>
  <c r="R19" i="108" l="1"/>
  <c r="R21" i="108" s="1"/>
  <c r="Q24" i="108"/>
  <c r="Q22" i="108"/>
  <c r="P24" i="79"/>
  <c r="S14" i="108"/>
  <c r="P28" i="108"/>
  <c r="P27" i="108"/>
  <c r="N29" i="108"/>
  <c r="M38" i="108"/>
  <c r="M40" i="108" s="1"/>
  <c r="M37" i="108"/>
  <c r="M39" i="108" s="1"/>
  <c r="F6" i="60"/>
  <c r="F10" i="60"/>
  <c r="Q24" i="79" l="1"/>
  <c r="T14" i="108"/>
  <c r="S19" i="108"/>
  <c r="S21" i="108" s="1"/>
  <c r="Q28" i="108"/>
  <c r="Q27" i="108"/>
  <c r="N38" i="108"/>
  <c r="N40" i="108" s="1"/>
  <c r="O29" i="108"/>
  <c r="N37" i="108"/>
  <c r="N39" i="108" s="1"/>
  <c r="R24" i="108"/>
  <c r="R22" i="108"/>
  <c r="G5" i="60"/>
  <c r="F11" i="60"/>
  <c r="F12" i="60" s="1"/>
  <c r="E16" i="17"/>
  <c r="E15" i="17"/>
  <c r="E17" i="17"/>
  <c r="S22" i="108" l="1"/>
  <c r="S24" i="108"/>
  <c r="R28" i="108"/>
  <c r="R27" i="108"/>
  <c r="T19" i="108"/>
  <c r="T21" i="108" s="1"/>
  <c r="P29" i="108"/>
  <c r="O37" i="108"/>
  <c r="O39" i="108" s="1"/>
  <c r="O38" i="108"/>
  <c r="O40" i="108" s="1"/>
  <c r="R24" i="79"/>
  <c r="U14" i="108"/>
  <c r="G10" i="60"/>
  <c r="G12" i="60" s="1"/>
  <c r="G6" i="60"/>
  <c r="U19" i="108" l="1"/>
  <c r="U21" i="108" s="1"/>
  <c r="T22" i="108"/>
  <c r="T24" i="108"/>
  <c r="S24" i="79"/>
  <c r="V14" i="108"/>
  <c r="S27" i="108"/>
  <c r="S28" i="108"/>
  <c r="P37" i="108"/>
  <c r="P39" i="108" s="1"/>
  <c r="Q29" i="108"/>
  <c r="P38" i="108"/>
  <c r="P40" i="108" s="1"/>
  <c r="H5" i="60"/>
  <c r="G11" i="60"/>
  <c r="T24" i="79" l="1"/>
  <c r="W14" i="108"/>
  <c r="T27" i="108"/>
  <c r="T28" i="108"/>
  <c r="R29" i="108"/>
  <c r="Q38" i="108"/>
  <c r="Q40" i="108" s="1"/>
  <c r="Q37" i="108"/>
  <c r="Q39" i="108" s="1"/>
  <c r="U24" i="108"/>
  <c r="U22" i="108"/>
  <c r="V19" i="108"/>
  <c r="V21" i="108" s="1"/>
  <c r="H6" i="60"/>
  <c r="H10" i="60"/>
  <c r="H12" i="60" s="1"/>
  <c r="K10" i="17"/>
  <c r="K9" i="17"/>
  <c r="U28" i="108" l="1"/>
  <c r="U27" i="108"/>
  <c r="V24" i="108"/>
  <c r="V22" i="108"/>
  <c r="W19" i="108"/>
  <c r="W21" i="108" s="1"/>
  <c r="R38" i="108"/>
  <c r="R40" i="108" s="1"/>
  <c r="R37" i="108"/>
  <c r="R39" i="108" s="1"/>
  <c r="S29" i="108"/>
  <c r="U24" i="79"/>
  <c r="X14" i="108"/>
  <c r="H11" i="60"/>
  <c r="I5" i="60"/>
  <c r="X19" i="108" l="1"/>
  <c r="X21" i="108" s="1"/>
  <c r="V24" i="79"/>
  <c r="Y14" i="108"/>
  <c r="W22" i="108"/>
  <c r="W24" i="108"/>
  <c r="V28" i="108"/>
  <c r="V27" i="108"/>
  <c r="T29" i="108"/>
  <c r="S38" i="108"/>
  <c r="S40" i="108" s="1"/>
  <c r="S37" i="108"/>
  <c r="S39" i="108" s="1"/>
  <c r="I10" i="60"/>
  <c r="I12" i="60" s="1"/>
  <c r="I6" i="60"/>
  <c r="A1" i="17"/>
  <c r="F6" i="47"/>
  <c r="G13" i="88" s="1"/>
  <c r="Y19" i="108" l="1"/>
  <c r="Y21" i="108" s="1"/>
  <c r="W24" i="79"/>
  <c r="AA14" i="108" s="1"/>
  <c r="AA19" i="108" s="1"/>
  <c r="AA21" i="108" s="1"/>
  <c r="Z14" i="108"/>
  <c r="W28" i="108"/>
  <c r="W27" i="108"/>
  <c r="T38" i="108"/>
  <c r="T40" i="108" s="1"/>
  <c r="U29" i="108"/>
  <c r="T37" i="108"/>
  <c r="T39" i="108" s="1"/>
  <c r="X24" i="108"/>
  <c r="X22" i="108"/>
  <c r="G21" i="88"/>
  <c r="CM21" i="88" s="1"/>
  <c r="G19" i="88"/>
  <c r="CM19" i="88" s="1"/>
  <c r="G22" i="88"/>
  <c r="CM22" i="88" s="1"/>
  <c r="G18" i="88"/>
  <c r="G17" i="88"/>
  <c r="G20" i="88"/>
  <c r="CM20" i="88" s="1"/>
  <c r="G16" i="88"/>
  <c r="G47" i="88"/>
  <c r="CM13" i="88"/>
  <c r="G13" i="72"/>
  <c r="O13" i="72"/>
  <c r="W13" i="72"/>
  <c r="AE13" i="72"/>
  <c r="AM13" i="72"/>
  <c r="AU13" i="72"/>
  <c r="BC13" i="72"/>
  <c r="BK13" i="72"/>
  <c r="BS13" i="72"/>
  <c r="CA13" i="72"/>
  <c r="CI13" i="72"/>
  <c r="BB13" i="72"/>
  <c r="H13" i="72"/>
  <c r="P13" i="72"/>
  <c r="X13" i="72"/>
  <c r="AF13" i="72"/>
  <c r="AN13" i="72"/>
  <c r="AV13" i="72"/>
  <c r="BD13" i="72"/>
  <c r="BL13" i="72"/>
  <c r="BT13" i="72"/>
  <c r="CB13" i="72"/>
  <c r="CJ13" i="72"/>
  <c r="AL13" i="72"/>
  <c r="BZ13" i="72"/>
  <c r="I13" i="72"/>
  <c r="Q13" i="72"/>
  <c r="Y13" i="72"/>
  <c r="AG13" i="72"/>
  <c r="AO13" i="72"/>
  <c r="AW13" i="72"/>
  <c r="BE13" i="72"/>
  <c r="BM13" i="72"/>
  <c r="BU13" i="72"/>
  <c r="CC13" i="72"/>
  <c r="CK13" i="72"/>
  <c r="AD13" i="72"/>
  <c r="J13" i="72"/>
  <c r="R13" i="72"/>
  <c r="Z13" i="72"/>
  <c r="AH13" i="72"/>
  <c r="AP13" i="72"/>
  <c r="AX13" i="72"/>
  <c r="BF13" i="72"/>
  <c r="BN13" i="72"/>
  <c r="BV13" i="72"/>
  <c r="CD13" i="72"/>
  <c r="CL13" i="72"/>
  <c r="K13" i="72"/>
  <c r="S13" i="72"/>
  <c r="AA13" i="72"/>
  <c r="AI13" i="72"/>
  <c r="AQ13" i="72"/>
  <c r="AY13" i="72"/>
  <c r="BG13" i="72"/>
  <c r="BO13" i="72"/>
  <c r="BW13" i="72"/>
  <c r="CE13" i="72"/>
  <c r="N13" i="72"/>
  <c r="AT13" i="72"/>
  <c r="BR13" i="72"/>
  <c r="CH13" i="72"/>
  <c r="L13" i="72"/>
  <c r="T13" i="72"/>
  <c r="AB13" i="72"/>
  <c r="AJ13" i="72"/>
  <c r="AR13" i="72"/>
  <c r="AZ13" i="72"/>
  <c r="BH13" i="72"/>
  <c r="BP13" i="72"/>
  <c r="BX13" i="72"/>
  <c r="CF13" i="72"/>
  <c r="V13" i="72"/>
  <c r="M13" i="72"/>
  <c r="U13" i="72"/>
  <c r="AC13" i="72"/>
  <c r="AK13" i="72"/>
  <c r="AS13" i="72"/>
  <c r="BA13" i="72"/>
  <c r="BI13" i="72"/>
  <c r="BQ13" i="72"/>
  <c r="BY13" i="72"/>
  <c r="CG13" i="72"/>
  <c r="BJ13" i="72"/>
  <c r="G6" i="47"/>
  <c r="J5" i="60"/>
  <c r="I11" i="60"/>
  <c r="F8" i="47"/>
  <c r="G11" i="47" s="1"/>
  <c r="V29" i="108" l="1"/>
  <c r="U38" i="108"/>
  <c r="U40" i="108" s="1"/>
  <c r="U37" i="108"/>
  <c r="U39" i="108" s="1"/>
  <c r="Z19" i="108"/>
  <c r="Z21" i="108" s="1"/>
  <c r="AA24" i="108"/>
  <c r="AA22" i="108"/>
  <c r="X28" i="108"/>
  <c r="X27" i="108"/>
  <c r="Y24" i="108"/>
  <c r="Y22" i="108"/>
  <c r="G50" i="88"/>
  <c r="G51" i="88"/>
  <c r="CM47" i="88"/>
  <c r="G37" i="88"/>
  <c r="CM37" i="88" s="1"/>
  <c r="G45" i="88"/>
  <c r="G35" i="88"/>
  <c r="CM35" i="88" s="1"/>
  <c r="G44" i="88"/>
  <c r="G34" i="88"/>
  <c r="G42" i="88"/>
  <c r="G38" i="88"/>
  <c r="CM38" i="88" s="1"/>
  <c r="G23" i="88"/>
  <c r="G40" i="88"/>
  <c r="CM40" i="88" s="1"/>
  <c r="CM16" i="88"/>
  <c r="G36" i="88"/>
  <c r="CM36" i="88" s="1"/>
  <c r="G39" i="88"/>
  <c r="CM39" i="88" s="1"/>
  <c r="G43" i="88"/>
  <c r="G66" i="88"/>
  <c r="CM66" i="88" s="1"/>
  <c r="CM17" i="88"/>
  <c r="G54" i="88"/>
  <c r="CM54" i="88" s="1"/>
  <c r="CM18" i="88"/>
  <c r="CF22" i="72"/>
  <c r="CF20" i="72"/>
  <c r="CF21" i="72"/>
  <c r="T22" i="72"/>
  <c r="T20" i="72"/>
  <c r="T21" i="72"/>
  <c r="BO21" i="72"/>
  <c r="BO22" i="72"/>
  <c r="BO20" i="72"/>
  <c r="CL21" i="72"/>
  <c r="CL22" i="72"/>
  <c r="CL20" i="72"/>
  <c r="Z21" i="72"/>
  <c r="Z22" i="72"/>
  <c r="Z20" i="72"/>
  <c r="BE20" i="72"/>
  <c r="BE21" i="72"/>
  <c r="BE22" i="72"/>
  <c r="AL22" i="72"/>
  <c r="AL20" i="72"/>
  <c r="AL21" i="72"/>
  <c r="AF21" i="72"/>
  <c r="AF22" i="72"/>
  <c r="AF20" i="72"/>
  <c r="BK22" i="72"/>
  <c r="BK20" i="72"/>
  <c r="BK21" i="72"/>
  <c r="BA22" i="72"/>
  <c r="BA20" i="72"/>
  <c r="BA21" i="72"/>
  <c r="BG21" i="72"/>
  <c r="BG22" i="72"/>
  <c r="BG20" i="72"/>
  <c r="CD21" i="72"/>
  <c r="CD22" i="72"/>
  <c r="CD20" i="72"/>
  <c r="R21" i="72"/>
  <c r="R22" i="72"/>
  <c r="R20" i="72"/>
  <c r="AW21" i="72"/>
  <c r="AW22" i="72"/>
  <c r="AW20" i="72"/>
  <c r="CJ21" i="72"/>
  <c r="CJ22" i="72"/>
  <c r="CJ20" i="72"/>
  <c r="X21" i="72"/>
  <c r="X22" i="72"/>
  <c r="X20" i="72"/>
  <c r="BC22" i="72"/>
  <c r="BC20" i="72"/>
  <c r="BC21" i="72"/>
  <c r="BP22" i="72"/>
  <c r="BP20" i="72"/>
  <c r="BP21" i="72"/>
  <c r="AY22" i="72"/>
  <c r="AY20" i="72"/>
  <c r="AY21" i="72"/>
  <c r="BV22" i="72"/>
  <c r="BV20" i="72"/>
  <c r="BV21" i="72"/>
  <c r="J22" i="72"/>
  <c r="J20" i="72"/>
  <c r="J21" i="72"/>
  <c r="AO21" i="72"/>
  <c r="AO22" i="72"/>
  <c r="AO20" i="72"/>
  <c r="CB22" i="72"/>
  <c r="CB21" i="72"/>
  <c r="CB20" i="72"/>
  <c r="P20" i="72"/>
  <c r="P21" i="72"/>
  <c r="P22" i="72"/>
  <c r="AU20" i="72"/>
  <c r="AU21" i="72"/>
  <c r="AU22" i="72"/>
  <c r="BI22" i="72"/>
  <c r="BI20" i="72"/>
  <c r="BI21" i="72"/>
  <c r="BR22" i="72"/>
  <c r="BR20" i="72"/>
  <c r="BR21" i="72"/>
  <c r="AQ21" i="72"/>
  <c r="AQ22" i="72"/>
  <c r="AQ20" i="72"/>
  <c r="BN21" i="72"/>
  <c r="BN22" i="72"/>
  <c r="BN20" i="72"/>
  <c r="AD22" i="72"/>
  <c r="AD20" i="72"/>
  <c r="AD21" i="72"/>
  <c r="AG22" i="72"/>
  <c r="AG20" i="72"/>
  <c r="AG21" i="72"/>
  <c r="BT21" i="72"/>
  <c r="BT22" i="72"/>
  <c r="BT20" i="72"/>
  <c r="H21" i="72"/>
  <c r="H22" i="72"/>
  <c r="H20" i="72"/>
  <c r="AM22" i="72"/>
  <c r="AM20" i="72"/>
  <c r="AM21" i="72"/>
  <c r="CH21" i="72"/>
  <c r="CH22" i="72"/>
  <c r="CH20" i="72"/>
  <c r="AZ21" i="72"/>
  <c r="AZ22" i="72"/>
  <c r="AZ20" i="72"/>
  <c r="AT22" i="72"/>
  <c r="AT20" i="72"/>
  <c r="AT21" i="72"/>
  <c r="AI21" i="72"/>
  <c r="AI22" i="72"/>
  <c r="AI20" i="72"/>
  <c r="BF21" i="72"/>
  <c r="BF22" i="72"/>
  <c r="BF20" i="72"/>
  <c r="CK21" i="72"/>
  <c r="CK22" i="72"/>
  <c r="CK20" i="72"/>
  <c r="Y21" i="72"/>
  <c r="Y22" i="72"/>
  <c r="Y20" i="72"/>
  <c r="BL21" i="72"/>
  <c r="BL20" i="72"/>
  <c r="BL22" i="72"/>
  <c r="BB22" i="72"/>
  <c r="BB20" i="72"/>
  <c r="BB21" i="72"/>
  <c r="AE22" i="72"/>
  <c r="AE20" i="72"/>
  <c r="AE21" i="72"/>
  <c r="BX22" i="72"/>
  <c r="BX20" i="72"/>
  <c r="BX21" i="72"/>
  <c r="BH22" i="72"/>
  <c r="BH20" i="72"/>
  <c r="BH21" i="72"/>
  <c r="U22" i="72"/>
  <c r="U20" i="72"/>
  <c r="U21" i="72"/>
  <c r="AR22" i="72"/>
  <c r="AR20" i="72"/>
  <c r="AR21" i="72"/>
  <c r="N22" i="72"/>
  <c r="N20" i="72"/>
  <c r="N21" i="72"/>
  <c r="AA21" i="72"/>
  <c r="AA22" i="72"/>
  <c r="AA20" i="72"/>
  <c r="AX21" i="72"/>
  <c r="AX22" i="72"/>
  <c r="AX20" i="72"/>
  <c r="CC21" i="72"/>
  <c r="CC22" i="72"/>
  <c r="CC20" i="72"/>
  <c r="Q21" i="72"/>
  <c r="Q22" i="72"/>
  <c r="Q20" i="72"/>
  <c r="BD22" i="72"/>
  <c r="BD20" i="72"/>
  <c r="BD21" i="72"/>
  <c r="CI22" i="72"/>
  <c r="CI20" i="72"/>
  <c r="CI21" i="72"/>
  <c r="W22" i="72"/>
  <c r="W20" i="72"/>
  <c r="W21" i="72"/>
  <c r="L22" i="72"/>
  <c r="L20" i="72"/>
  <c r="L21" i="72"/>
  <c r="BJ20" i="72"/>
  <c r="BJ21" i="72"/>
  <c r="BJ22" i="72"/>
  <c r="CG22" i="72"/>
  <c r="CG20" i="72"/>
  <c r="CG21" i="72"/>
  <c r="M20" i="72"/>
  <c r="M21" i="72"/>
  <c r="M22" i="72"/>
  <c r="AJ22" i="72"/>
  <c r="AJ20" i="72"/>
  <c r="AJ21" i="72"/>
  <c r="S21" i="72"/>
  <c r="S22" i="72"/>
  <c r="S20" i="72"/>
  <c r="AP21" i="72"/>
  <c r="AP22" i="72"/>
  <c r="AP20" i="72"/>
  <c r="BU21" i="72"/>
  <c r="BU22" i="72"/>
  <c r="BU20" i="72"/>
  <c r="I21" i="72"/>
  <c r="I22" i="72"/>
  <c r="I20" i="72"/>
  <c r="AV21" i="72"/>
  <c r="AV20" i="72"/>
  <c r="AV22" i="72"/>
  <c r="CA22" i="72"/>
  <c r="CA20" i="72"/>
  <c r="CA21" i="72"/>
  <c r="O22" i="72"/>
  <c r="O20" i="72"/>
  <c r="O21" i="72"/>
  <c r="AS22" i="72"/>
  <c r="AS20" i="72"/>
  <c r="AS21" i="72"/>
  <c r="AK21" i="72"/>
  <c r="AK22" i="72"/>
  <c r="AK20" i="72"/>
  <c r="AC22" i="72"/>
  <c r="AC20" i="72"/>
  <c r="AC21" i="72"/>
  <c r="BY20" i="72"/>
  <c r="BY21" i="72"/>
  <c r="BY22" i="72"/>
  <c r="CE21" i="72"/>
  <c r="CE22" i="72"/>
  <c r="CE20" i="72"/>
  <c r="BQ22" i="72"/>
  <c r="BQ20" i="72"/>
  <c r="BQ21" i="72"/>
  <c r="V21" i="72"/>
  <c r="V22" i="72"/>
  <c r="V20" i="72"/>
  <c r="AB20" i="72"/>
  <c r="AB21" i="72"/>
  <c r="AB22" i="72"/>
  <c r="BW20" i="72"/>
  <c r="BW21" i="72"/>
  <c r="BW22" i="72"/>
  <c r="K20" i="72"/>
  <c r="K21" i="72"/>
  <c r="K22" i="72"/>
  <c r="AH20" i="72"/>
  <c r="AH21" i="72"/>
  <c r="AH22" i="72"/>
  <c r="BM21" i="72"/>
  <c r="BM20" i="72"/>
  <c r="BM22" i="72"/>
  <c r="BZ22" i="72"/>
  <c r="BZ20" i="72"/>
  <c r="BZ21" i="72"/>
  <c r="AN21" i="72"/>
  <c r="AN22" i="72"/>
  <c r="AN20" i="72"/>
  <c r="BS21" i="72"/>
  <c r="BS22" i="72"/>
  <c r="BS20" i="72"/>
  <c r="G22" i="72"/>
  <c r="G20" i="72"/>
  <c r="G21" i="72"/>
  <c r="U17" i="94"/>
  <c r="M17" i="94"/>
  <c r="T17" i="94"/>
  <c r="L17" i="94"/>
  <c r="Z17" i="94"/>
  <c r="R17" i="94"/>
  <c r="J17" i="94"/>
  <c r="Y17" i="94"/>
  <c r="Q17" i="94"/>
  <c r="I17" i="94"/>
  <c r="X17" i="94"/>
  <c r="P17" i="94"/>
  <c r="W17" i="94"/>
  <c r="O17" i="94"/>
  <c r="S17" i="94"/>
  <c r="V17" i="94"/>
  <c r="N17" i="94"/>
  <c r="K17" i="94"/>
  <c r="Z24" i="72"/>
  <c r="Z30" i="72"/>
  <c r="Z28" i="72" s="1"/>
  <c r="Z47" i="72"/>
  <c r="AL30" i="72"/>
  <c r="AL28" i="72" s="1"/>
  <c r="AL24" i="72"/>
  <c r="AL47" i="72"/>
  <c r="BK24" i="72"/>
  <c r="BK30" i="72"/>
  <c r="BK28" i="72" s="1"/>
  <c r="BK47" i="72"/>
  <c r="BI30" i="72"/>
  <c r="BI28" i="72" s="1"/>
  <c r="BI24" i="72"/>
  <c r="BI47" i="72"/>
  <c r="BE24" i="72"/>
  <c r="BE30" i="72"/>
  <c r="BE28" i="72" s="1"/>
  <c r="BE47" i="72"/>
  <c r="AF30" i="72"/>
  <c r="AF28" i="72" s="1"/>
  <c r="AF24" i="72"/>
  <c r="AF47" i="72"/>
  <c r="BA30" i="72"/>
  <c r="BA28" i="72" s="1"/>
  <c r="BA47" i="72"/>
  <c r="BA24" i="72"/>
  <c r="BX30" i="72"/>
  <c r="BX28" i="72" s="1"/>
  <c r="BX24" i="72"/>
  <c r="BX47" i="72"/>
  <c r="L30" i="72"/>
  <c r="L28" i="72" s="1"/>
  <c r="L47" i="72"/>
  <c r="L24" i="72"/>
  <c r="BG30" i="72"/>
  <c r="BG28" i="72" s="1"/>
  <c r="BG24" i="72"/>
  <c r="BG47" i="72"/>
  <c r="CD30" i="72"/>
  <c r="CD28" i="72" s="1"/>
  <c r="CD24" i="72"/>
  <c r="CD47" i="72"/>
  <c r="R30" i="72"/>
  <c r="R28" i="72" s="1"/>
  <c r="R24" i="72"/>
  <c r="R47" i="72"/>
  <c r="AW30" i="72"/>
  <c r="AW28" i="72" s="1"/>
  <c r="AW47" i="72"/>
  <c r="AW24" i="72"/>
  <c r="CJ24" i="72"/>
  <c r="CJ30" i="72"/>
  <c r="CJ28" i="72" s="1"/>
  <c r="CJ47" i="72"/>
  <c r="X24" i="72"/>
  <c r="X30" i="72"/>
  <c r="X28" i="72" s="1"/>
  <c r="X47" i="72"/>
  <c r="BC30" i="72"/>
  <c r="BC28" i="72" s="1"/>
  <c r="BC24" i="72"/>
  <c r="BC47" i="72"/>
  <c r="T30" i="72"/>
  <c r="T28" i="72" s="1"/>
  <c r="T24" i="72"/>
  <c r="T47" i="72"/>
  <c r="AS30" i="72"/>
  <c r="AS28" i="72" s="1"/>
  <c r="AS24" i="72"/>
  <c r="AS47" i="72"/>
  <c r="J30" i="72"/>
  <c r="J28" i="72" s="1"/>
  <c r="J24" i="72"/>
  <c r="J47" i="72"/>
  <c r="BH30" i="72"/>
  <c r="BH28" i="72" s="1"/>
  <c r="BH24" i="72"/>
  <c r="BH47" i="72"/>
  <c r="AQ30" i="72"/>
  <c r="AQ28" i="72" s="1"/>
  <c r="AQ24" i="72"/>
  <c r="AQ47" i="72"/>
  <c r="BN30" i="72"/>
  <c r="BN28" i="72" s="1"/>
  <c r="BN24" i="72"/>
  <c r="BN47" i="72"/>
  <c r="AD30" i="72"/>
  <c r="AD28" i="72" s="1"/>
  <c r="AD24" i="72"/>
  <c r="AD47" i="72"/>
  <c r="AG47" i="72"/>
  <c r="AG30" i="72"/>
  <c r="AG28" i="72" s="1"/>
  <c r="AG24" i="72"/>
  <c r="BT24" i="72"/>
  <c r="BT30" i="72"/>
  <c r="BT28" i="72" s="1"/>
  <c r="BT47" i="72"/>
  <c r="H47" i="72"/>
  <c r="H24" i="72"/>
  <c r="H30" i="72"/>
  <c r="H28" i="72" s="1"/>
  <c r="AM30" i="72"/>
  <c r="AM28" i="72" s="1"/>
  <c r="AM24" i="72"/>
  <c r="AM47" i="72"/>
  <c r="CF30" i="72"/>
  <c r="CF28" i="72" s="1"/>
  <c r="CF24" i="72"/>
  <c r="CF47" i="72"/>
  <c r="BP30" i="72"/>
  <c r="BP28" i="72" s="1"/>
  <c r="BP24" i="72"/>
  <c r="BP47" i="72"/>
  <c r="CB30" i="72"/>
  <c r="CB28" i="72" s="1"/>
  <c r="CB24" i="72"/>
  <c r="CB47" i="72"/>
  <c r="AK47" i="72"/>
  <c r="AK30" i="72"/>
  <c r="AK28" i="72" s="1"/>
  <c r="AK24" i="72"/>
  <c r="AC30" i="72"/>
  <c r="AC28" i="72" s="1"/>
  <c r="AC24" i="72"/>
  <c r="AC47" i="72"/>
  <c r="AT30" i="72"/>
  <c r="AT28" i="72" s="1"/>
  <c r="AT24" i="72"/>
  <c r="AT47" i="72"/>
  <c r="AI30" i="72"/>
  <c r="AI28" i="72" s="1"/>
  <c r="AI24" i="72"/>
  <c r="AI47" i="72"/>
  <c r="BF30" i="72"/>
  <c r="BF28" i="72" s="1"/>
  <c r="BF24" i="72"/>
  <c r="BF47" i="72"/>
  <c r="CK24" i="72"/>
  <c r="CK30" i="72"/>
  <c r="CK28" i="72" s="1"/>
  <c r="CK47" i="72"/>
  <c r="Y24" i="72"/>
  <c r="Y30" i="72"/>
  <c r="Y28" i="72" s="1"/>
  <c r="Y47" i="72"/>
  <c r="BL30" i="72"/>
  <c r="BL28" i="72" s="1"/>
  <c r="BL24" i="72"/>
  <c r="BL47" i="72"/>
  <c r="BB24" i="72"/>
  <c r="BB30" i="72"/>
  <c r="BB28" i="72" s="1"/>
  <c r="BB47" i="72"/>
  <c r="AE30" i="72"/>
  <c r="AE28" i="72" s="1"/>
  <c r="AE24" i="72"/>
  <c r="AE47" i="72"/>
  <c r="BO30" i="72"/>
  <c r="BO28" i="72" s="1"/>
  <c r="BO24" i="72"/>
  <c r="BO47" i="72"/>
  <c r="CH30" i="72"/>
  <c r="CH28" i="72" s="1"/>
  <c r="CH24" i="72"/>
  <c r="CH47" i="72"/>
  <c r="AO47" i="72"/>
  <c r="AO24" i="72"/>
  <c r="AO30" i="72"/>
  <c r="AO28" i="72" s="1"/>
  <c r="BR24" i="72"/>
  <c r="BR30" i="72"/>
  <c r="BR28" i="72" s="1"/>
  <c r="BR47" i="72"/>
  <c r="BJ30" i="72"/>
  <c r="BJ28" i="72" s="1"/>
  <c r="BJ24" i="72"/>
  <c r="BJ47" i="72"/>
  <c r="CG30" i="72"/>
  <c r="CG28" i="72" s="1"/>
  <c r="CG47" i="72"/>
  <c r="CG24" i="72"/>
  <c r="AR30" i="72"/>
  <c r="AR28" i="72" s="1"/>
  <c r="AR24" i="72"/>
  <c r="AR47" i="72"/>
  <c r="N30" i="72"/>
  <c r="N28" i="72" s="1"/>
  <c r="N24" i="72"/>
  <c r="N47" i="72"/>
  <c r="AA30" i="72"/>
  <c r="AA28" i="72" s="1"/>
  <c r="AA24" i="72"/>
  <c r="AA47" i="72"/>
  <c r="AX30" i="72"/>
  <c r="AX28" i="72" s="1"/>
  <c r="AX24" i="72"/>
  <c r="AX47" i="72"/>
  <c r="CC24" i="72"/>
  <c r="CC47" i="72"/>
  <c r="CC30" i="72"/>
  <c r="CC28" i="72" s="1"/>
  <c r="Q30" i="72"/>
  <c r="Q28" i="72" s="1"/>
  <c r="Q47" i="72"/>
  <c r="Q24" i="72"/>
  <c r="BD30" i="72"/>
  <c r="BD28" i="72" s="1"/>
  <c r="BD24" i="72"/>
  <c r="BD47" i="72"/>
  <c r="CI30" i="72"/>
  <c r="CI28" i="72" s="1"/>
  <c r="CI24" i="72"/>
  <c r="CI47" i="72"/>
  <c r="W30" i="72"/>
  <c r="W28" i="72" s="1"/>
  <c r="W24" i="72"/>
  <c r="W47" i="72"/>
  <c r="CL30" i="72"/>
  <c r="CL28" i="72" s="1"/>
  <c r="CL24" i="72"/>
  <c r="CL47" i="72"/>
  <c r="BV24" i="72"/>
  <c r="BV30" i="72"/>
  <c r="BV28" i="72" s="1"/>
  <c r="BV47" i="72"/>
  <c r="AU24" i="72"/>
  <c r="AU30" i="72"/>
  <c r="AU28" i="72" s="1"/>
  <c r="AU47" i="72"/>
  <c r="AZ30" i="72"/>
  <c r="AZ28" i="72" s="1"/>
  <c r="AZ24" i="72"/>
  <c r="AZ47" i="72"/>
  <c r="U30" i="72"/>
  <c r="U28" i="72" s="1"/>
  <c r="U47" i="72"/>
  <c r="U24" i="72"/>
  <c r="BY30" i="72"/>
  <c r="BY28" i="72" s="1"/>
  <c r="BY24" i="72"/>
  <c r="BY47" i="72"/>
  <c r="M30" i="72"/>
  <c r="M28" i="72" s="1"/>
  <c r="M24" i="72"/>
  <c r="M47" i="72"/>
  <c r="AJ30" i="72"/>
  <c r="AJ28" i="72" s="1"/>
  <c r="AJ24" i="72"/>
  <c r="AJ47" i="72"/>
  <c r="CE30" i="72"/>
  <c r="CE28" i="72" s="1"/>
  <c r="CE24" i="72"/>
  <c r="CE47" i="72"/>
  <c r="S30" i="72"/>
  <c r="S28" i="72" s="1"/>
  <c r="S24" i="72"/>
  <c r="S47" i="72"/>
  <c r="AP30" i="72"/>
  <c r="AP28" i="72" s="1"/>
  <c r="AP24" i="72"/>
  <c r="AP47" i="72"/>
  <c r="BU30" i="72"/>
  <c r="BU28" i="72" s="1"/>
  <c r="BU24" i="72"/>
  <c r="BU47" i="72"/>
  <c r="I47" i="72"/>
  <c r="I24" i="72"/>
  <c r="I30" i="72"/>
  <c r="I28" i="72" s="1"/>
  <c r="AV30" i="72"/>
  <c r="AV28" i="72" s="1"/>
  <c r="AV24" i="72"/>
  <c r="AV47" i="72"/>
  <c r="CA24" i="72"/>
  <c r="CA30" i="72"/>
  <c r="CA28" i="72" s="1"/>
  <c r="CA47" i="72"/>
  <c r="O47" i="72"/>
  <c r="O24" i="72"/>
  <c r="O30" i="72"/>
  <c r="O28" i="72" s="1"/>
  <c r="AY30" i="72"/>
  <c r="AY28" i="72" s="1"/>
  <c r="AY24" i="72"/>
  <c r="AY47" i="72"/>
  <c r="P47" i="72"/>
  <c r="P30" i="72"/>
  <c r="P28" i="72" s="1"/>
  <c r="P24" i="72"/>
  <c r="K16" i="72"/>
  <c r="S16" i="72"/>
  <c r="AA16" i="72"/>
  <c r="AI16" i="72"/>
  <c r="AQ16" i="72"/>
  <c r="AY16" i="72"/>
  <c r="BG16" i="72"/>
  <c r="BO16" i="72"/>
  <c r="BW16" i="72"/>
  <c r="CE16" i="72"/>
  <c r="L16" i="72"/>
  <c r="T16" i="72"/>
  <c r="AB16" i="72"/>
  <c r="AJ16" i="72"/>
  <c r="AR16" i="72"/>
  <c r="AZ16" i="72"/>
  <c r="BH16" i="72"/>
  <c r="BP16" i="72"/>
  <c r="BX16" i="72"/>
  <c r="CF16" i="72"/>
  <c r="G16" i="72"/>
  <c r="M16" i="72"/>
  <c r="U16" i="72"/>
  <c r="AC16" i="72"/>
  <c r="AK16" i="72"/>
  <c r="AS16" i="72"/>
  <c r="BA16" i="72"/>
  <c r="BI16" i="72"/>
  <c r="BQ16" i="72"/>
  <c r="BY16" i="72"/>
  <c r="CG16" i="72"/>
  <c r="N16" i="72"/>
  <c r="V16" i="72"/>
  <c r="AD16" i="72"/>
  <c r="AL16" i="72"/>
  <c r="AT16" i="72"/>
  <c r="BB16" i="72"/>
  <c r="BJ16" i="72"/>
  <c r="BR16" i="72"/>
  <c r="BZ16" i="72"/>
  <c r="CH16" i="72"/>
  <c r="O16" i="72"/>
  <c r="W16" i="72"/>
  <c r="AE16" i="72"/>
  <c r="AM16" i="72"/>
  <c r="AU16" i="72"/>
  <c r="BC16" i="72"/>
  <c r="BK16" i="72"/>
  <c r="BS16" i="72"/>
  <c r="CA16" i="72"/>
  <c r="CI16" i="72"/>
  <c r="H16" i="72"/>
  <c r="P16" i="72"/>
  <c r="X16" i="72"/>
  <c r="AF16" i="72"/>
  <c r="AN16" i="72"/>
  <c r="AV16" i="72"/>
  <c r="BD16" i="72"/>
  <c r="BL16" i="72"/>
  <c r="BT16" i="72"/>
  <c r="CB16" i="72"/>
  <c r="CJ16" i="72"/>
  <c r="I16" i="72"/>
  <c r="Q16" i="72"/>
  <c r="Y16" i="72"/>
  <c r="AG16" i="72"/>
  <c r="AO16" i="72"/>
  <c r="AW16" i="72"/>
  <c r="BE16" i="72"/>
  <c r="BM16" i="72"/>
  <c r="BU16" i="72"/>
  <c r="CC16" i="72"/>
  <c r="CK16" i="72"/>
  <c r="BF16" i="72"/>
  <c r="BN16" i="72"/>
  <c r="J16" i="72"/>
  <c r="BV16" i="72"/>
  <c r="AX16" i="72"/>
  <c r="R16" i="72"/>
  <c r="CD16" i="72"/>
  <c r="Z16" i="72"/>
  <c r="CL16" i="72"/>
  <c r="AH16" i="72"/>
  <c r="AP16" i="72"/>
  <c r="BQ47" i="72"/>
  <c r="BQ30" i="72"/>
  <c r="BQ28" i="72" s="1"/>
  <c r="BQ24" i="72"/>
  <c r="V24" i="72"/>
  <c r="V30" i="72"/>
  <c r="V28" i="72" s="1"/>
  <c r="V47" i="72"/>
  <c r="AB30" i="72"/>
  <c r="AB28" i="72" s="1"/>
  <c r="AB24" i="72"/>
  <c r="AB47" i="72"/>
  <c r="BW30" i="72"/>
  <c r="BW28" i="72" s="1"/>
  <c r="BW24" i="72"/>
  <c r="BW47" i="72"/>
  <c r="K30" i="72"/>
  <c r="K28" i="72" s="1"/>
  <c r="K24" i="72"/>
  <c r="K47" i="72"/>
  <c r="AH30" i="72"/>
  <c r="AH28" i="72" s="1"/>
  <c r="AH24" i="72"/>
  <c r="AH47" i="72"/>
  <c r="BM47" i="72"/>
  <c r="BM30" i="72"/>
  <c r="BM28" i="72" s="1"/>
  <c r="BM24" i="72"/>
  <c r="BZ30" i="72"/>
  <c r="BZ28" i="72" s="1"/>
  <c r="BZ24" i="72"/>
  <c r="BZ47" i="72"/>
  <c r="AN24" i="72"/>
  <c r="AN30" i="72"/>
  <c r="AN28" i="72" s="1"/>
  <c r="AN47" i="72"/>
  <c r="BS30" i="72"/>
  <c r="BS28" i="72" s="1"/>
  <c r="BS24" i="72"/>
  <c r="BS47" i="72"/>
  <c r="G30" i="72"/>
  <c r="G24" i="72"/>
  <c r="G47" i="72"/>
  <c r="CM13" i="72"/>
  <c r="I17" i="39"/>
  <c r="C10" i="56" s="1"/>
  <c r="M17" i="39"/>
  <c r="G10" i="56" s="1"/>
  <c r="Q17" i="39"/>
  <c r="K10" i="56" s="1"/>
  <c r="U17" i="39"/>
  <c r="Y17" i="39"/>
  <c r="Z17" i="39"/>
  <c r="L17" i="39"/>
  <c r="F10" i="56" s="1"/>
  <c r="P17" i="39"/>
  <c r="J10" i="56" s="1"/>
  <c r="X17" i="39"/>
  <c r="J17" i="39"/>
  <c r="D10" i="56" s="1"/>
  <c r="N17" i="39"/>
  <c r="H10" i="56" s="1"/>
  <c r="R17" i="39"/>
  <c r="V17" i="39"/>
  <c r="T17" i="39"/>
  <c r="K17" i="39"/>
  <c r="O17" i="39"/>
  <c r="I10" i="56" s="1"/>
  <c r="S17" i="39"/>
  <c r="W17" i="39"/>
  <c r="H17" i="39"/>
  <c r="J6" i="60"/>
  <c r="J10" i="60"/>
  <c r="J12" i="60" s="1"/>
  <c r="AA27" i="108" l="1"/>
  <c r="AA28" i="108"/>
  <c r="G33" i="108"/>
  <c r="Z24" i="108"/>
  <c r="Z22" i="108"/>
  <c r="Y28" i="108"/>
  <c r="Y27" i="108"/>
  <c r="V38" i="108"/>
  <c r="V40" i="108" s="1"/>
  <c r="W29" i="108"/>
  <c r="V37" i="108"/>
  <c r="V39" i="108" s="1"/>
  <c r="CM45" i="88"/>
  <c r="G63" i="88"/>
  <c r="CM63" i="88" s="1"/>
  <c r="G64" i="88"/>
  <c r="CM64" i="88" s="1"/>
  <c r="CM44" i="88"/>
  <c r="G55" i="88"/>
  <c r="CM55" i="88" s="1"/>
  <c r="CM23" i="88"/>
  <c r="G60" i="88"/>
  <c r="CM42" i="88"/>
  <c r="G53" i="88"/>
  <c r="CM51" i="88"/>
  <c r="CM43" i="88"/>
  <c r="G61" i="88"/>
  <c r="CM61" i="88" s="1"/>
  <c r="G41" i="88"/>
  <c r="CM34" i="88"/>
  <c r="G52" i="88"/>
  <c r="CM52" i="88" s="1"/>
  <c r="CM50" i="88"/>
  <c r="CM16" i="72"/>
  <c r="CM24" i="72"/>
  <c r="G28" i="72"/>
  <c r="CM28" i="72" s="1"/>
  <c r="CM30" i="72"/>
  <c r="CM21" i="72"/>
  <c r="CM20" i="72"/>
  <c r="CM22" i="72"/>
  <c r="AB50" i="72"/>
  <c r="AB52" i="72" s="1"/>
  <c r="AB51" i="72"/>
  <c r="AB53" i="72" s="1"/>
  <c r="BQ50" i="72"/>
  <c r="BQ52" i="72" s="1"/>
  <c r="BQ51" i="72"/>
  <c r="BQ53" i="72" s="1"/>
  <c r="R45" i="72"/>
  <c r="R63" i="72" s="1"/>
  <c r="R27" i="72"/>
  <c r="R23" i="72"/>
  <c r="R44" i="72"/>
  <c r="R64" i="72" s="1"/>
  <c r="R39" i="72"/>
  <c r="R42" i="72"/>
  <c r="R60" i="72" s="1"/>
  <c r="R35" i="72"/>
  <c r="R37" i="72"/>
  <c r="R40" i="72"/>
  <c r="R38" i="72"/>
  <c r="R34" i="72"/>
  <c r="R36" i="72"/>
  <c r="R43" i="72"/>
  <c r="R61" i="72" s="1"/>
  <c r="BU45" i="72"/>
  <c r="BU63" i="72" s="1"/>
  <c r="BU27" i="72"/>
  <c r="BU44" i="72"/>
  <c r="BU64" i="72" s="1"/>
  <c r="BU39" i="72"/>
  <c r="BU23" i="72"/>
  <c r="BU55" i="72" s="1"/>
  <c r="BU38" i="72"/>
  <c r="BU36" i="72"/>
  <c r="BU43" i="72"/>
  <c r="BU61" i="72" s="1"/>
  <c r="BU37" i="72"/>
  <c r="BU34" i="72"/>
  <c r="BU35" i="72"/>
  <c r="BU33" i="72"/>
  <c r="BU42" i="72"/>
  <c r="BU60" i="72" s="1"/>
  <c r="BU40" i="72"/>
  <c r="I45" i="72"/>
  <c r="I63" i="72" s="1"/>
  <c r="I27" i="72"/>
  <c r="I44" i="72"/>
  <c r="I64" i="72" s="1"/>
  <c r="I23" i="72"/>
  <c r="I39" i="72"/>
  <c r="I43" i="72"/>
  <c r="I61" i="72" s="1"/>
  <c r="I34" i="72"/>
  <c r="I37" i="72"/>
  <c r="I42" i="72"/>
  <c r="I60" i="72" s="1"/>
  <c r="I35" i="72"/>
  <c r="I40" i="72"/>
  <c r="I36" i="72"/>
  <c r="I38" i="72"/>
  <c r="AF23" i="72"/>
  <c r="AF55" i="72" s="1"/>
  <c r="AF39" i="72"/>
  <c r="AF45" i="72"/>
  <c r="AF63" i="72" s="1"/>
  <c r="AF27" i="72"/>
  <c r="AF44" i="72"/>
  <c r="AF64" i="72" s="1"/>
  <c r="AF40" i="72"/>
  <c r="AF38" i="72"/>
  <c r="AF34" i="72"/>
  <c r="AF43" i="72"/>
  <c r="AF61" i="72" s="1"/>
  <c r="AF33" i="72"/>
  <c r="AF42" i="72"/>
  <c r="AF60" i="72" s="1"/>
  <c r="AF36" i="72"/>
  <c r="AF37" i="72"/>
  <c r="AF35" i="72"/>
  <c r="BC23" i="72"/>
  <c r="BC39" i="72"/>
  <c r="BC44" i="72"/>
  <c r="BC64" i="72" s="1"/>
  <c r="BC27" i="72"/>
  <c r="BC45" i="72"/>
  <c r="BC63" i="72" s="1"/>
  <c r="BC40" i="72"/>
  <c r="BC33" i="72"/>
  <c r="BC38" i="72"/>
  <c r="BC34" i="72"/>
  <c r="BC36" i="72"/>
  <c r="BC43" i="72"/>
  <c r="BC61" i="72" s="1"/>
  <c r="BC35" i="72"/>
  <c r="BC37" i="72"/>
  <c r="BC42" i="72"/>
  <c r="BC60" i="72" s="1"/>
  <c r="BR45" i="72"/>
  <c r="BR63" i="72" s="1"/>
  <c r="BR27" i="72"/>
  <c r="BR23" i="72"/>
  <c r="BR39" i="72"/>
  <c r="BR44" i="72"/>
  <c r="BR64" i="72" s="1"/>
  <c r="BR40" i="72"/>
  <c r="BR35" i="72"/>
  <c r="BR38" i="72"/>
  <c r="BR36" i="72"/>
  <c r="BR34" i="72"/>
  <c r="BR42" i="72"/>
  <c r="BR60" i="72" s="1"/>
  <c r="BR33" i="72"/>
  <c r="BR43" i="72"/>
  <c r="BR61" i="72" s="1"/>
  <c r="BR37" i="72"/>
  <c r="CG23" i="72"/>
  <c r="CG44" i="72"/>
  <c r="CG64" i="72" s="1"/>
  <c r="CG27" i="72"/>
  <c r="CG39" i="72"/>
  <c r="CG45" i="72"/>
  <c r="CG63" i="72" s="1"/>
  <c r="CG40" i="72"/>
  <c r="CG38" i="72"/>
  <c r="CG36" i="72"/>
  <c r="CG43" i="72"/>
  <c r="CG61" i="72" s="1"/>
  <c r="CG34" i="72"/>
  <c r="CG35" i="72"/>
  <c r="CG33" i="72"/>
  <c r="CG42" i="72"/>
  <c r="CG60" i="72" s="1"/>
  <c r="CG37" i="72"/>
  <c r="U23" i="72"/>
  <c r="U44" i="72"/>
  <c r="U64" i="72" s="1"/>
  <c r="U27" i="72"/>
  <c r="U39" i="72"/>
  <c r="U45" i="72"/>
  <c r="U63" i="72" s="1"/>
  <c r="U40" i="72"/>
  <c r="U38" i="72"/>
  <c r="U36" i="72"/>
  <c r="U34" i="72"/>
  <c r="U37" i="72"/>
  <c r="U33" i="72"/>
  <c r="U35" i="72"/>
  <c r="U43" i="72"/>
  <c r="U61" i="72" s="1"/>
  <c r="U42" i="72"/>
  <c r="U60" i="72" s="1"/>
  <c r="AR39" i="72"/>
  <c r="AR23" i="72"/>
  <c r="AR45" i="72"/>
  <c r="AR63" i="72" s="1"/>
  <c r="AR44" i="72"/>
  <c r="AR64" i="72" s="1"/>
  <c r="AR27" i="72"/>
  <c r="AR43" i="72"/>
  <c r="AR61" i="72" s="1"/>
  <c r="AR38" i="72"/>
  <c r="AR42" i="72"/>
  <c r="AR60" i="72" s="1"/>
  <c r="AR33" i="72"/>
  <c r="AR35" i="72"/>
  <c r="AR36" i="72"/>
  <c r="AR37" i="72"/>
  <c r="AR34" i="72"/>
  <c r="AR40" i="72"/>
  <c r="BO45" i="72"/>
  <c r="BO63" i="72" s="1"/>
  <c r="BO39" i="72"/>
  <c r="BO27" i="72"/>
  <c r="BO23" i="72"/>
  <c r="BO44" i="72"/>
  <c r="BO64" i="72" s="1"/>
  <c r="BO38" i="72"/>
  <c r="BO34" i="72"/>
  <c r="BO36" i="72"/>
  <c r="BO43" i="72"/>
  <c r="BO61" i="72" s="1"/>
  <c r="BO37" i="72"/>
  <c r="BO33" i="72"/>
  <c r="BO42" i="72"/>
  <c r="BO60" i="72" s="1"/>
  <c r="BO40" i="72"/>
  <c r="BO35" i="72"/>
  <c r="AV50" i="72"/>
  <c r="AV52" i="72" s="1"/>
  <c r="AV51" i="72"/>
  <c r="AV53" i="72" s="1"/>
  <c r="BY51" i="72"/>
  <c r="BY53" i="72" s="1"/>
  <c r="BY50" i="72"/>
  <c r="BY52" i="72" s="1"/>
  <c r="U50" i="72"/>
  <c r="U52" i="72" s="1"/>
  <c r="U51" i="72"/>
  <c r="U53" i="72" s="1"/>
  <c r="BV51" i="72"/>
  <c r="BV53" i="72" s="1"/>
  <c r="BV50" i="72"/>
  <c r="BV52" i="72" s="1"/>
  <c r="BD50" i="72"/>
  <c r="BD52" i="72" s="1"/>
  <c r="BD51" i="72"/>
  <c r="BD53" i="72" s="1"/>
  <c r="Q50" i="72"/>
  <c r="Q52" i="72" s="1"/>
  <c r="Q51" i="72"/>
  <c r="Q53" i="72" s="1"/>
  <c r="AA50" i="72"/>
  <c r="AA52" i="72" s="1"/>
  <c r="AA51" i="72"/>
  <c r="AA53" i="72" s="1"/>
  <c r="N50" i="72"/>
  <c r="N52" i="72" s="1"/>
  <c r="N51" i="72"/>
  <c r="N53" i="72" s="1"/>
  <c r="BJ51" i="72"/>
  <c r="BJ53" i="72" s="1"/>
  <c r="BJ50" i="72"/>
  <c r="BJ52" i="72" s="1"/>
  <c r="BO50" i="72"/>
  <c r="BO52" i="72" s="1"/>
  <c r="BO51" i="72"/>
  <c r="BO53" i="72" s="1"/>
  <c r="AT50" i="72"/>
  <c r="AT52" i="72" s="1"/>
  <c r="AT51" i="72"/>
  <c r="AT53" i="72" s="1"/>
  <c r="AK50" i="72"/>
  <c r="AK52" i="72" s="1"/>
  <c r="AK51" i="72"/>
  <c r="AK53" i="72" s="1"/>
  <c r="BP50" i="72"/>
  <c r="BP52" i="72" s="1"/>
  <c r="BP51" i="72"/>
  <c r="BP53" i="72" s="1"/>
  <c r="BT50" i="72"/>
  <c r="BT52" i="72" s="1"/>
  <c r="BT51" i="72"/>
  <c r="BT53" i="72" s="1"/>
  <c r="AQ50" i="72"/>
  <c r="AQ52" i="72" s="1"/>
  <c r="AQ51" i="72"/>
  <c r="AQ53" i="72" s="1"/>
  <c r="T51" i="72"/>
  <c r="T53" i="72" s="1"/>
  <c r="T50" i="72"/>
  <c r="T52" i="72" s="1"/>
  <c r="BI51" i="72"/>
  <c r="BI53" i="72" s="1"/>
  <c r="BI50" i="72"/>
  <c r="BI52" i="72" s="1"/>
  <c r="Z51" i="72"/>
  <c r="Z53" i="72" s="1"/>
  <c r="Z50" i="72"/>
  <c r="Z52" i="72" s="1"/>
  <c r="AX45" i="72"/>
  <c r="AX63" i="72" s="1"/>
  <c r="AX27" i="72"/>
  <c r="AX23" i="72"/>
  <c r="AX44" i="72"/>
  <c r="AX64" i="72" s="1"/>
  <c r="AX39" i="72"/>
  <c r="AX35" i="72"/>
  <c r="AX42" i="72"/>
  <c r="AX60" i="72" s="1"/>
  <c r="AX33" i="72"/>
  <c r="AX36" i="72"/>
  <c r="AX40" i="72"/>
  <c r="AX37" i="72"/>
  <c r="AX38" i="72"/>
  <c r="AX43" i="72"/>
  <c r="AX61" i="72" s="1"/>
  <c r="AX34" i="72"/>
  <c r="BM44" i="72"/>
  <c r="BM64" i="72" s="1"/>
  <c r="BM23" i="72"/>
  <c r="BM55" i="72" s="1"/>
  <c r="BM39" i="72"/>
  <c r="BM45" i="72"/>
  <c r="BM63" i="72" s="1"/>
  <c r="BM27" i="72"/>
  <c r="BM40" i="72"/>
  <c r="BM38" i="72"/>
  <c r="BM36" i="72"/>
  <c r="BM43" i="72"/>
  <c r="BM61" i="72" s="1"/>
  <c r="BM34" i="72"/>
  <c r="BM35" i="72"/>
  <c r="BM37" i="72"/>
  <c r="BM42" i="72"/>
  <c r="BM60" i="72" s="1"/>
  <c r="BM33" i="72"/>
  <c r="CJ45" i="72"/>
  <c r="CJ63" i="72" s="1"/>
  <c r="CJ23" i="72"/>
  <c r="CJ44" i="72"/>
  <c r="CJ64" i="72" s="1"/>
  <c r="CJ39" i="72"/>
  <c r="CJ27" i="72"/>
  <c r="CJ42" i="72"/>
  <c r="CJ60" i="72" s="1"/>
  <c r="CJ40" i="72"/>
  <c r="CJ38" i="72"/>
  <c r="CJ35" i="72"/>
  <c r="CJ34" i="72"/>
  <c r="CJ43" i="72"/>
  <c r="CJ61" i="72" s="1"/>
  <c r="CJ33" i="72"/>
  <c r="CJ37" i="72"/>
  <c r="CJ36" i="72"/>
  <c r="X45" i="72"/>
  <c r="X63" i="72" s="1"/>
  <c r="X23" i="72"/>
  <c r="X44" i="72"/>
  <c r="X64" i="72" s="1"/>
  <c r="X39" i="72"/>
  <c r="X27" i="72"/>
  <c r="X35" i="72"/>
  <c r="X34" i="72"/>
  <c r="X43" i="72"/>
  <c r="X61" i="72" s="1"/>
  <c r="X36" i="72"/>
  <c r="X42" i="72"/>
  <c r="X60" i="72" s="1"/>
  <c r="X33" i="72"/>
  <c r="X38" i="72"/>
  <c r="X40" i="72"/>
  <c r="X37" i="72"/>
  <c r="AU23" i="72"/>
  <c r="AU45" i="72"/>
  <c r="AU63" i="72" s="1"/>
  <c r="AU44" i="72"/>
  <c r="AU64" i="72" s="1"/>
  <c r="AU27" i="72"/>
  <c r="AU39" i="72"/>
  <c r="AU33" i="72"/>
  <c r="AU40" i="72"/>
  <c r="AU42" i="72"/>
  <c r="AU60" i="72" s="1"/>
  <c r="AU38" i="72"/>
  <c r="AU34" i="72"/>
  <c r="AU36" i="72"/>
  <c r="AU43" i="72"/>
  <c r="AU61" i="72" s="1"/>
  <c r="AU37" i="72"/>
  <c r="AU35" i="72"/>
  <c r="BJ45" i="72"/>
  <c r="BJ63" i="72" s="1"/>
  <c r="BJ27" i="72"/>
  <c r="BJ23" i="72"/>
  <c r="BJ39" i="72"/>
  <c r="BJ44" i="72"/>
  <c r="BJ64" i="72" s="1"/>
  <c r="BJ34" i="72"/>
  <c r="BJ43" i="72"/>
  <c r="BJ61" i="72" s="1"/>
  <c r="BJ42" i="72"/>
  <c r="BJ60" i="72" s="1"/>
  <c r="BJ37" i="72"/>
  <c r="BJ33" i="72"/>
  <c r="BJ40" i="72"/>
  <c r="BJ35" i="72"/>
  <c r="BJ38" i="72"/>
  <c r="BJ36" i="72"/>
  <c r="BY39" i="72"/>
  <c r="BY23" i="72"/>
  <c r="BY45" i="72"/>
  <c r="BY63" i="72" s="1"/>
  <c r="BY44" i="72"/>
  <c r="BY64" i="72" s="1"/>
  <c r="BY27" i="72"/>
  <c r="BY36" i="72"/>
  <c r="BY43" i="72"/>
  <c r="BY61" i="72" s="1"/>
  <c r="BY37" i="72"/>
  <c r="BY34" i="72"/>
  <c r="BY35" i="72"/>
  <c r="BY33" i="72"/>
  <c r="BY42" i="72"/>
  <c r="BY60" i="72" s="1"/>
  <c r="BY40" i="72"/>
  <c r="BY38" i="72"/>
  <c r="M39" i="72"/>
  <c r="M23" i="72"/>
  <c r="M45" i="72"/>
  <c r="M63" i="72" s="1"/>
  <c r="M44" i="72"/>
  <c r="M64" i="72" s="1"/>
  <c r="M27" i="72"/>
  <c r="M42" i="72"/>
  <c r="M60" i="72" s="1"/>
  <c r="M40" i="72"/>
  <c r="M38" i="72"/>
  <c r="M36" i="72"/>
  <c r="M43" i="72"/>
  <c r="M61" i="72" s="1"/>
  <c r="M34" i="72"/>
  <c r="M35" i="72"/>
  <c r="M37" i="72"/>
  <c r="AJ44" i="72"/>
  <c r="AJ64" i="72" s="1"/>
  <c r="AJ23" i="72"/>
  <c r="AJ39" i="72"/>
  <c r="AJ45" i="72"/>
  <c r="AJ63" i="72" s="1"/>
  <c r="AJ27" i="72"/>
  <c r="AJ38" i="72"/>
  <c r="AJ36" i="72"/>
  <c r="AJ37" i="72"/>
  <c r="AJ43" i="72"/>
  <c r="AJ61" i="72" s="1"/>
  <c r="AJ34" i="72"/>
  <c r="AJ42" i="72"/>
  <c r="AJ60" i="72" s="1"/>
  <c r="AJ33" i="72"/>
  <c r="AJ35" i="72"/>
  <c r="AJ40" i="72"/>
  <c r="BG45" i="72"/>
  <c r="BG63" i="72" s="1"/>
  <c r="BG39" i="72"/>
  <c r="BG27" i="72"/>
  <c r="BG23" i="72"/>
  <c r="BG44" i="72"/>
  <c r="BG64" i="72" s="1"/>
  <c r="BG33" i="72"/>
  <c r="BG38" i="72"/>
  <c r="BG42" i="72"/>
  <c r="BG60" i="72" s="1"/>
  <c r="BG36" i="72"/>
  <c r="BG34" i="72"/>
  <c r="BG43" i="72"/>
  <c r="BG61" i="72" s="1"/>
  <c r="BG37" i="72"/>
  <c r="BG35" i="72"/>
  <c r="BG40" i="72"/>
  <c r="S50" i="72"/>
  <c r="S52" i="72" s="1"/>
  <c r="S51" i="72"/>
  <c r="S53" i="72" s="1"/>
  <c r="AO51" i="72"/>
  <c r="AO53" i="72" s="1"/>
  <c r="AO50" i="72"/>
  <c r="AO52" i="72" s="1"/>
  <c r="Y50" i="72"/>
  <c r="Y52" i="72" s="1"/>
  <c r="Y51" i="72"/>
  <c r="Y53" i="72" s="1"/>
  <c r="AW50" i="72"/>
  <c r="AW52" i="72" s="1"/>
  <c r="AW51" i="72"/>
  <c r="AW53" i="72" s="1"/>
  <c r="BE51" i="72"/>
  <c r="BE53" i="72" s="1"/>
  <c r="BE50" i="72"/>
  <c r="BE52" i="72" s="1"/>
  <c r="BZ51" i="72"/>
  <c r="BZ53" i="72" s="1"/>
  <c r="BZ50" i="72"/>
  <c r="BZ52" i="72" s="1"/>
  <c r="BV23" i="72"/>
  <c r="BV45" i="72"/>
  <c r="BV63" i="72" s="1"/>
  <c r="BV27" i="72"/>
  <c r="BV39" i="72"/>
  <c r="BV44" i="72"/>
  <c r="BV64" i="72" s="1"/>
  <c r="BV35" i="72"/>
  <c r="BV36" i="72"/>
  <c r="BV38" i="72"/>
  <c r="BV37" i="72"/>
  <c r="BV40" i="72"/>
  <c r="BV42" i="72"/>
  <c r="BV60" i="72" s="1"/>
  <c r="BV34" i="72"/>
  <c r="BV33" i="72"/>
  <c r="BV43" i="72"/>
  <c r="BV61" i="72" s="1"/>
  <c r="BE45" i="72"/>
  <c r="BE63" i="72" s="1"/>
  <c r="BE23" i="72"/>
  <c r="BE44" i="72"/>
  <c r="BE64" i="72" s="1"/>
  <c r="BE27" i="72"/>
  <c r="BE39" i="72"/>
  <c r="BE40" i="72"/>
  <c r="BE38" i="72"/>
  <c r="BE36" i="72"/>
  <c r="BE43" i="72"/>
  <c r="BE61" i="72" s="1"/>
  <c r="BE37" i="72"/>
  <c r="BE34" i="72"/>
  <c r="BE42" i="72"/>
  <c r="BE60" i="72" s="1"/>
  <c r="BE35" i="72"/>
  <c r="BE33" i="72"/>
  <c r="CB27" i="72"/>
  <c r="CB39" i="72"/>
  <c r="CB45" i="72"/>
  <c r="CB63" i="72" s="1"/>
  <c r="CB23" i="72"/>
  <c r="CB44" i="72"/>
  <c r="CB64" i="72" s="1"/>
  <c r="CB38" i="72"/>
  <c r="CB35" i="72"/>
  <c r="CB34" i="72"/>
  <c r="CB43" i="72"/>
  <c r="CB61" i="72" s="1"/>
  <c r="CB33" i="72"/>
  <c r="CB37" i="72"/>
  <c r="CB36" i="72"/>
  <c r="CB42" i="72"/>
  <c r="CB60" i="72" s="1"/>
  <c r="CB40" i="72"/>
  <c r="P27" i="72"/>
  <c r="P39" i="72"/>
  <c r="P45" i="72"/>
  <c r="P63" i="72" s="1"/>
  <c r="P23" i="72"/>
  <c r="P44" i="72"/>
  <c r="P64" i="72" s="1"/>
  <c r="P42" i="72"/>
  <c r="P60" i="72" s="1"/>
  <c r="P36" i="72"/>
  <c r="P37" i="72"/>
  <c r="P35" i="72"/>
  <c r="P40" i="72"/>
  <c r="P38" i="72"/>
  <c r="P43" i="72"/>
  <c r="P61" i="72" s="1"/>
  <c r="P34" i="72"/>
  <c r="AM23" i="72"/>
  <c r="AM45" i="72"/>
  <c r="AM63" i="72" s="1"/>
  <c r="AM27" i="72"/>
  <c r="AM44" i="72"/>
  <c r="AM64" i="72" s="1"/>
  <c r="AM39" i="72"/>
  <c r="AM33" i="72"/>
  <c r="AM40" i="72"/>
  <c r="AM35" i="72"/>
  <c r="AM38" i="72"/>
  <c r="AM34" i="72"/>
  <c r="AM36" i="72"/>
  <c r="AM43" i="72"/>
  <c r="AM61" i="72" s="1"/>
  <c r="AM37" i="72"/>
  <c r="AM42" i="72"/>
  <c r="AM60" i="72" s="1"/>
  <c r="BB45" i="72"/>
  <c r="BB63" i="72" s="1"/>
  <c r="BB23" i="72"/>
  <c r="BB27" i="72"/>
  <c r="BB44" i="72"/>
  <c r="BB64" i="72" s="1"/>
  <c r="BB39" i="72"/>
  <c r="BB40" i="72"/>
  <c r="BB43" i="72"/>
  <c r="BB61" i="72" s="1"/>
  <c r="BB38" i="72"/>
  <c r="BB36" i="72"/>
  <c r="BB34" i="72"/>
  <c r="BB37" i="72"/>
  <c r="BB42" i="72"/>
  <c r="BB60" i="72" s="1"/>
  <c r="BB33" i="72"/>
  <c r="BB35" i="72"/>
  <c r="BQ27" i="72"/>
  <c r="BQ44" i="72"/>
  <c r="BQ64" i="72" s="1"/>
  <c r="BQ23" i="72"/>
  <c r="BQ39" i="72"/>
  <c r="BQ45" i="72"/>
  <c r="BQ63" i="72" s="1"/>
  <c r="BQ35" i="72"/>
  <c r="BQ33" i="72"/>
  <c r="BQ42" i="72"/>
  <c r="BQ60" i="72" s="1"/>
  <c r="BQ40" i="72"/>
  <c r="BQ38" i="72"/>
  <c r="BQ43" i="72"/>
  <c r="BQ61" i="72" s="1"/>
  <c r="BQ34" i="72"/>
  <c r="BQ37" i="72"/>
  <c r="BQ36" i="72"/>
  <c r="G39" i="72"/>
  <c r="G27" i="72"/>
  <c r="G45" i="72"/>
  <c r="G44" i="72"/>
  <c r="G23" i="72"/>
  <c r="G37" i="72"/>
  <c r="G42" i="72"/>
  <c r="G35" i="72"/>
  <c r="G34" i="72"/>
  <c r="G38" i="72"/>
  <c r="G43" i="72"/>
  <c r="G40" i="72"/>
  <c r="G36" i="72"/>
  <c r="AB39" i="72"/>
  <c r="AB27" i="72"/>
  <c r="AB45" i="72"/>
  <c r="AB63" i="72" s="1"/>
  <c r="AB44" i="72"/>
  <c r="AB64" i="72" s="1"/>
  <c r="AB23" i="72"/>
  <c r="AB43" i="72"/>
  <c r="AB61" i="72" s="1"/>
  <c r="AB40" i="72"/>
  <c r="AB42" i="72"/>
  <c r="AB60" i="72" s="1"/>
  <c r="AB38" i="72"/>
  <c r="AB35" i="72"/>
  <c r="AB36" i="72"/>
  <c r="AB34" i="72"/>
  <c r="AB33" i="72"/>
  <c r="AB37" i="72"/>
  <c r="AY45" i="72"/>
  <c r="AY63" i="72" s="1"/>
  <c r="AY44" i="72"/>
  <c r="AY64" i="72" s="1"/>
  <c r="AY39" i="72"/>
  <c r="AY23" i="72"/>
  <c r="AY27" i="72"/>
  <c r="AY35" i="72"/>
  <c r="AY33" i="72"/>
  <c r="AY40" i="72"/>
  <c r="AY42" i="72"/>
  <c r="AY60" i="72" s="1"/>
  <c r="AY38" i="72"/>
  <c r="AY34" i="72"/>
  <c r="AY36" i="72"/>
  <c r="AY43" i="72"/>
  <c r="AY61" i="72" s="1"/>
  <c r="AY37" i="72"/>
  <c r="CA51" i="72"/>
  <c r="CA53" i="72" s="1"/>
  <c r="CA50" i="72"/>
  <c r="CA52" i="72" s="1"/>
  <c r="AP50" i="72"/>
  <c r="AP52" i="72" s="1"/>
  <c r="AP51" i="72"/>
  <c r="AP53" i="72" s="1"/>
  <c r="AU51" i="72"/>
  <c r="AU53" i="72" s="1"/>
  <c r="AU50" i="72"/>
  <c r="AU52" i="72" s="1"/>
  <c r="CI51" i="72"/>
  <c r="CI53" i="72" s="1"/>
  <c r="CI50" i="72"/>
  <c r="CI52" i="72" s="1"/>
  <c r="AX50" i="72"/>
  <c r="AX52" i="72" s="1"/>
  <c r="AX51" i="72"/>
  <c r="AX53" i="72" s="1"/>
  <c r="CH50" i="72"/>
  <c r="CH52" i="72" s="1"/>
  <c r="CH51" i="72"/>
  <c r="CH53" i="72" s="1"/>
  <c r="BL51" i="72"/>
  <c r="BL53" i="72" s="1"/>
  <c r="BL50" i="72"/>
  <c r="BL52" i="72" s="1"/>
  <c r="AI51" i="72"/>
  <c r="AI53" i="72" s="1"/>
  <c r="AI50" i="72"/>
  <c r="AI52" i="72" s="1"/>
  <c r="CB50" i="72"/>
  <c r="CB52" i="72" s="1"/>
  <c r="CB51" i="72"/>
  <c r="CB53" i="72" s="1"/>
  <c r="BN50" i="72"/>
  <c r="BN52" i="72" s="1"/>
  <c r="BN51" i="72"/>
  <c r="BN53" i="72" s="1"/>
  <c r="CJ51" i="72"/>
  <c r="CJ53" i="72" s="1"/>
  <c r="CJ50" i="72"/>
  <c r="CJ52" i="72" s="1"/>
  <c r="BG51" i="72"/>
  <c r="BG53" i="72" s="1"/>
  <c r="BG50" i="72"/>
  <c r="BG52" i="72" s="1"/>
  <c r="L51" i="72"/>
  <c r="L53" i="72" s="1"/>
  <c r="L50" i="72"/>
  <c r="L52" i="72" s="1"/>
  <c r="AF51" i="72"/>
  <c r="AF53" i="72" s="1"/>
  <c r="AF50" i="72"/>
  <c r="AF52" i="72" s="1"/>
  <c r="AL51" i="72"/>
  <c r="AL53" i="72" s="1"/>
  <c r="AL50" i="72"/>
  <c r="AL52" i="72" s="1"/>
  <c r="G50" i="72"/>
  <c r="G51" i="72"/>
  <c r="CM47" i="72"/>
  <c r="AP23" i="72"/>
  <c r="AP27" i="72"/>
  <c r="AP45" i="72"/>
  <c r="AP63" i="72" s="1"/>
  <c r="AP44" i="72"/>
  <c r="AP64" i="72" s="1"/>
  <c r="AP39" i="72"/>
  <c r="AP42" i="72"/>
  <c r="AP60" i="72" s="1"/>
  <c r="AP36" i="72"/>
  <c r="AP38" i="72"/>
  <c r="AP34" i="72"/>
  <c r="AP33" i="72"/>
  <c r="AP43" i="72"/>
  <c r="AP61" i="72" s="1"/>
  <c r="AP40" i="72"/>
  <c r="AP35" i="72"/>
  <c r="AP37" i="72"/>
  <c r="J45" i="72"/>
  <c r="J63" i="72" s="1"/>
  <c r="J23" i="72"/>
  <c r="J27" i="72"/>
  <c r="J39" i="72"/>
  <c r="J44" i="72"/>
  <c r="J64" i="72" s="1"/>
  <c r="J36" i="72"/>
  <c r="J37" i="72"/>
  <c r="J42" i="72"/>
  <c r="J60" i="72" s="1"/>
  <c r="J34" i="72"/>
  <c r="J40" i="72"/>
  <c r="J38" i="72"/>
  <c r="J43" i="72"/>
  <c r="J61" i="72" s="1"/>
  <c r="J35" i="72"/>
  <c r="AW44" i="72"/>
  <c r="AW64" i="72" s="1"/>
  <c r="AW27" i="72"/>
  <c r="AW39" i="72"/>
  <c r="AW45" i="72"/>
  <c r="AW63" i="72" s="1"/>
  <c r="AW23" i="72"/>
  <c r="AW40" i="72"/>
  <c r="AW38" i="72"/>
  <c r="AW42" i="72"/>
  <c r="AW60" i="72" s="1"/>
  <c r="AW36" i="72"/>
  <c r="AW43" i="72"/>
  <c r="AW61" i="72" s="1"/>
  <c r="AW34" i="72"/>
  <c r="AW37" i="72"/>
  <c r="AW33" i="72"/>
  <c r="AW35" i="72"/>
  <c r="BT45" i="72"/>
  <c r="BT63" i="72" s="1"/>
  <c r="BT27" i="72"/>
  <c r="BT44" i="72"/>
  <c r="BT64" i="72" s="1"/>
  <c r="BT39" i="72"/>
  <c r="BT23" i="72"/>
  <c r="BT42" i="72"/>
  <c r="BT60" i="72" s="1"/>
  <c r="BT33" i="72"/>
  <c r="BT40" i="72"/>
  <c r="BT38" i="72"/>
  <c r="BT37" i="72"/>
  <c r="BT34" i="72"/>
  <c r="BT43" i="72"/>
  <c r="BT61" i="72" s="1"/>
  <c r="BT35" i="72"/>
  <c r="BT36" i="72"/>
  <c r="H45" i="72"/>
  <c r="H63" i="72" s="1"/>
  <c r="H27" i="72"/>
  <c r="H44" i="72"/>
  <c r="H64" i="72" s="1"/>
  <c r="H39" i="72"/>
  <c r="H23" i="72"/>
  <c r="H42" i="72"/>
  <c r="H60" i="72" s="1"/>
  <c r="H36" i="72"/>
  <c r="H40" i="72"/>
  <c r="H38" i="72"/>
  <c r="H37" i="72"/>
  <c r="H34" i="72"/>
  <c r="H43" i="72"/>
  <c r="H61" i="72" s="1"/>
  <c r="H35" i="72"/>
  <c r="AE23" i="72"/>
  <c r="AE39" i="72"/>
  <c r="AE45" i="72"/>
  <c r="AE63" i="72" s="1"/>
  <c r="AE27" i="72"/>
  <c r="AE44" i="72"/>
  <c r="AE64" i="72" s="1"/>
  <c r="AE43" i="72"/>
  <c r="AE61" i="72" s="1"/>
  <c r="AE37" i="72"/>
  <c r="AE33" i="72"/>
  <c r="AE35" i="72"/>
  <c r="AE40" i="72"/>
  <c r="AE42" i="72"/>
  <c r="AE60" i="72" s="1"/>
  <c r="AE38" i="72"/>
  <c r="AE34" i="72"/>
  <c r="AE36" i="72"/>
  <c r="AT45" i="72"/>
  <c r="AT63" i="72" s="1"/>
  <c r="AT23" i="72"/>
  <c r="AT27" i="72"/>
  <c r="AT44" i="72"/>
  <c r="AT64" i="72" s="1"/>
  <c r="AT39" i="72"/>
  <c r="AT38" i="72"/>
  <c r="AT36" i="72"/>
  <c r="AT34" i="72"/>
  <c r="AT43" i="72"/>
  <c r="AT61" i="72" s="1"/>
  <c r="AT42" i="72"/>
  <c r="AT60" i="72" s="1"/>
  <c r="AT37" i="72"/>
  <c r="AT33" i="72"/>
  <c r="AT35" i="72"/>
  <c r="AT40" i="72"/>
  <c r="BI39" i="72"/>
  <c r="BI27" i="72"/>
  <c r="BI45" i="72"/>
  <c r="BI63" i="72" s="1"/>
  <c r="BI44" i="72"/>
  <c r="BI64" i="72" s="1"/>
  <c r="BI23" i="72"/>
  <c r="BI35" i="72"/>
  <c r="BI33" i="72"/>
  <c r="BI42" i="72"/>
  <c r="BI60" i="72" s="1"/>
  <c r="BI40" i="72"/>
  <c r="BI38" i="72"/>
  <c r="BI36" i="72"/>
  <c r="BI43" i="72"/>
  <c r="BI61" i="72" s="1"/>
  <c r="BI37" i="72"/>
  <c r="BI34" i="72"/>
  <c r="CF44" i="72"/>
  <c r="CF64" i="72" s="1"/>
  <c r="CF27" i="72"/>
  <c r="CF39" i="72"/>
  <c r="CF45" i="72"/>
  <c r="CF63" i="72" s="1"/>
  <c r="CF23" i="72"/>
  <c r="CF38" i="72"/>
  <c r="CF36" i="72"/>
  <c r="CF34" i="72"/>
  <c r="CF43" i="72"/>
  <c r="CF61" i="72" s="1"/>
  <c r="CF33" i="72"/>
  <c r="CF37" i="72"/>
  <c r="CF35" i="72"/>
  <c r="CF42" i="72"/>
  <c r="CF60" i="72" s="1"/>
  <c r="CF40" i="72"/>
  <c r="T44" i="72"/>
  <c r="T64" i="72" s="1"/>
  <c r="T27" i="72"/>
  <c r="T39" i="72"/>
  <c r="T45" i="72"/>
  <c r="T63" i="72" s="1"/>
  <c r="T23" i="72"/>
  <c r="T42" i="72"/>
  <c r="T60" i="72" s="1"/>
  <c r="T33" i="72"/>
  <c r="T35" i="72"/>
  <c r="T40" i="72"/>
  <c r="T38" i="72"/>
  <c r="T37" i="72"/>
  <c r="T43" i="72"/>
  <c r="T61" i="72" s="1"/>
  <c r="T36" i="72"/>
  <c r="T34" i="72"/>
  <c r="AQ45" i="72"/>
  <c r="AQ63" i="72" s="1"/>
  <c r="AQ27" i="72"/>
  <c r="AQ44" i="72"/>
  <c r="AQ64" i="72" s="1"/>
  <c r="AQ23" i="72"/>
  <c r="AQ39" i="72"/>
  <c r="AQ37" i="72"/>
  <c r="AQ33" i="72"/>
  <c r="AQ40" i="72"/>
  <c r="AQ34" i="72"/>
  <c r="AQ38" i="72"/>
  <c r="AQ42" i="72"/>
  <c r="AQ60" i="72" s="1"/>
  <c r="AQ36" i="72"/>
  <c r="AQ43" i="72"/>
  <c r="AQ61" i="72" s="1"/>
  <c r="AQ35" i="72"/>
  <c r="I51" i="72"/>
  <c r="I53" i="72" s="1"/>
  <c r="I50" i="72"/>
  <c r="I52" i="72" s="1"/>
  <c r="AG50" i="72"/>
  <c r="AG52" i="72" s="1"/>
  <c r="AG51" i="72"/>
  <c r="AG53" i="72" s="1"/>
  <c r="AS51" i="72"/>
  <c r="AS53" i="72" s="1"/>
  <c r="AS50" i="72"/>
  <c r="AS52" i="72" s="1"/>
  <c r="B10" i="56"/>
  <c r="B10" i="91"/>
  <c r="AN50" i="72"/>
  <c r="AN52" i="72" s="1"/>
  <c r="AN51" i="72"/>
  <c r="AN53" i="72" s="1"/>
  <c r="K51" i="72"/>
  <c r="K53" i="72" s="1"/>
  <c r="K50" i="72"/>
  <c r="K52" i="72" s="1"/>
  <c r="AH23" i="72"/>
  <c r="AH45" i="72"/>
  <c r="AH63" i="72" s="1"/>
  <c r="AH27" i="72"/>
  <c r="AH39" i="72"/>
  <c r="AH44" i="72"/>
  <c r="AH64" i="72" s="1"/>
  <c r="AH43" i="72"/>
  <c r="AH61" i="72" s="1"/>
  <c r="AH34" i="72"/>
  <c r="AH33" i="72"/>
  <c r="AH42" i="72"/>
  <c r="AH60" i="72" s="1"/>
  <c r="AH36" i="72"/>
  <c r="AH40" i="72"/>
  <c r="AH37" i="72"/>
  <c r="AH38" i="72"/>
  <c r="AH35" i="72"/>
  <c r="BN45" i="72"/>
  <c r="BN63" i="72" s="1"/>
  <c r="BN23" i="72"/>
  <c r="BN27" i="72"/>
  <c r="BN39" i="72"/>
  <c r="BN44" i="72"/>
  <c r="BN64" i="72" s="1"/>
  <c r="BN40" i="72"/>
  <c r="BN37" i="72"/>
  <c r="BN38" i="72"/>
  <c r="BN43" i="72"/>
  <c r="BN61" i="72" s="1"/>
  <c r="BN34" i="72"/>
  <c r="BN42" i="72"/>
  <c r="BN60" i="72" s="1"/>
  <c r="BN33" i="72"/>
  <c r="BN36" i="72"/>
  <c r="BN35" i="72"/>
  <c r="AO45" i="72"/>
  <c r="AO63" i="72" s="1"/>
  <c r="AO27" i="72"/>
  <c r="AO44" i="72"/>
  <c r="AO64" i="72" s="1"/>
  <c r="AO39" i="72"/>
  <c r="AO23" i="72"/>
  <c r="AO43" i="72"/>
  <c r="AO61" i="72" s="1"/>
  <c r="AO34" i="72"/>
  <c r="AO37" i="72"/>
  <c r="AO33" i="72"/>
  <c r="AO42" i="72"/>
  <c r="AO60" i="72" s="1"/>
  <c r="AO35" i="72"/>
  <c r="AO40" i="72"/>
  <c r="AO36" i="72"/>
  <c r="AO38" i="72"/>
  <c r="BL23" i="72"/>
  <c r="BL39" i="72"/>
  <c r="BL45" i="72"/>
  <c r="BL63" i="72" s="1"/>
  <c r="BL27" i="72"/>
  <c r="BL44" i="72"/>
  <c r="BL64" i="72" s="1"/>
  <c r="BL37" i="72"/>
  <c r="BL40" i="72"/>
  <c r="BL38" i="72"/>
  <c r="BL35" i="72"/>
  <c r="BL34" i="72"/>
  <c r="BL43" i="72"/>
  <c r="BL61" i="72" s="1"/>
  <c r="BL33" i="72"/>
  <c r="BL42" i="72"/>
  <c r="BL60" i="72" s="1"/>
  <c r="BL36" i="72"/>
  <c r="CI23" i="72"/>
  <c r="CI44" i="72"/>
  <c r="CI64" i="72" s="1"/>
  <c r="CI45" i="72"/>
  <c r="CI63" i="72" s="1"/>
  <c r="CI39" i="72"/>
  <c r="CI27" i="72"/>
  <c r="CI38" i="72"/>
  <c r="CI34" i="72"/>
  <c r="CI36" i="72"/>
  <c r="CI43" i="72"/>
  <c r="CI61" i="72" s="1"/>
  <c r="CI37" i="72"/>
  <c r="CI42" i="72"/>
  <c r="CI60" i="72" s="1"/>
  <c r="CI40" i="72"/>
  <c r="CI35" i="72"/>
  <c r="CI33" i="72"/>
  <c r="W23" i="72"/>
  <c r="W44" i="72"/>
  <c r="W64" i="72" s="1"/>
  <c r="W45" i="72"/>
  <c r="W63" i="72" s="1"/>
  <c r="W39" i="72"/>
  <c r="W27" i="72"/>
  <c r="W37" i="72"/>
  <c r="W42" i="72"/>
  <c r="W60" i="72" s="1"/>
  <c r="W33" i="72"/>
  <c r="W40" i="72"/>
  <c r="W35" i="72"/>
  <c r="W38" i="72"/>
  <c r="W34" i="72"/>
  <c r="W43" i="72"/>
  <c r="W61" i="72" s="1"/>
  <c r="W36" i="72"/>
  <c r="AL45" i="72"/>
  <c r="AL63" i="72" s="1"/>
  <c r="AL27" i="72"/>
  <c r="AL23" i="72"/>
  <c r="AL39" i="72"/>
  <c r="AL44" i="72"/>
  <c r="AL64" i="72" s="1"/>
  <c r="AL37" i="72"/>
  <c r="AL42" i="72"/>
  <c r="AL60" i="72" s="1"/>
  <c r="AL33" i="72"/>
  <c r="AL35" i="72"/>
  <c r="AL40" i="72"/>
  <c r="AL43" i="72"/>
  <c r="AL61" i="72" s="1"/>
  <c r="AL38" i="72"/>
  <c r="AL36" i="72"/>
  <c r="AL34" i="72"/>
  <c r="BA23" i="72"/>
  <c r="BA44" i="72"/>
  <c r="BA64" i="72" s="1"/>
  <c r="BA27" i="72"/>
  <c r="BA39" i="72"/>
  <c r="BA45" i="72"/>
  <c r="BA63" i="72" s="1"/>
  <c r="BA40" i="72"/>
  <c r="BA38" i="72"/>
  <c r="BA36" i="72"/>
  <c r="BA43" i="72"/>
  <c r="BA61" i="72" s="1"/>
  <c r="BA34" i="72"/>
  <c r="BA37" i="72"/>
  <c r="BA35" i="72"/>
  <c r="BA33" i="72"/>
  <c r="BA42" i="72"/>
  <c r="BA60" i="72" s="1"/>
  <c r="BX39" i="72"/>
  <c r="BX23" i="72"/>
  <c r="BX45" i="72"/>
  <c r="BX63" i="72" s="1"/>
  <c r="BX44" i="72"/>
  <c r="BX64" i="72" s="1"/>
  <c r="BX27" i="72"/>
  <c r="BX36" i="72"/>
  <c r="BX37" i="72"/>
  <c r="BX34" i="72"/>
  <c r="BX33" i="72"/>
  <c r="BX43" i="72"/>
  <c r="BX61" i="72" s="1"/>
  <c r="BX40" i="72"/>
  <c r="BX42" i="72"/>
  <c r="BX60" i="72" s="1"/>
  <c r="BX38" i="72"/>
  <c r="BX35" i="72"/>
  <c r="L39" i="72"/>
  <c r="L23" i="72"/>
  <c r="L45" i="72"/>
  <c r="L63" i="72" s="1"/>
  <c r="L44" i="72"/>
  <c r="L64" i="72" s="1"/>
  <c r="L27" i="72"/>
  <c r="L42" i="72"/>
  <c r="L60" i="72" s="1"/>
  <c r="L35" i="72"/>
  <c r="L36" i="72"/>
  <c r="L37" i="72"/>
  <c r="L34" i="72"/>
  <c r="L43" i="72"/>
  <c r="L61" i="72" s="1"/>
  <c r="L38" i="72"/>
  <c r="L40" i="72"/>
  <c r="AI45" i="72"/>
  <c r="AI63" i="72" s="1"/>
  <c r="AI39" i="72"/>
  <c r="AI23" i="72"/>
  <c r="AI27" i="72"/>
  <c r="AI44" i="72"/>
  <c r="AI64" i="72" s="1"/>
  <c r="AI43" i="72"/>
  <c r="AI61" i="72" s="1"/>
  <c r="AI37" i="72"/>
  <c r="AI33" i="72"/>
  <c r="AI42" i="72"/>
  <c r="AI60" i="72" s="1"/>
  <c r="AI38" i="72"/>
  <c r="AI34" i="72"/>
  <c r="AI40" i="72"/>
  <c r="AI36" i="72"/>
  <c r="AI35" i="72"/>
  <c r="P51" i="72"/>
  <c r="P53" i="72" s="1"/>
  <c r="P50" i="72"/>
  <c r="P52" i="72" s="1"/>
  <c r="BU50" i="72"/>
  <c r="BU52" i="72" s="1"/>
  <c r="BU51" i="72"/>
  <c r="BU53" i="72" s="1"/>
  <c r="AJ51" i="72"/>
  <c r="AJ53" i="72" s="1"/>
  <c r="AJ50" i="72"/>
  <c r="AJ52" i="72" s="1"/>
  <c r="M51" i="72"/>
  <c r="M53" i="72" s="1"/>
  <c r="M50" i="72"/>
  <c r="M52" i="72" s="1"/>
  <c r="AZ50" i="72"/>
  <c r="AZ52" i="72" s="1"/>
  <c r="AZ51" i="72"/>
  <c r="AZ53" i="72" s="1"/>
  <c r="W51" i="72"/>
  <c r="W53" i="72" s="1"/>
  <c r="W50" i="72"/>
  <c r="W52" i="72" s="1"/>
  <c r="AR51" i="72"/>
  <c r="AR53" i="72" s="1"/>
  <c r="AR50" i="72"/>
  <c r="AR52" i="72" s="1"/>
  <c r="CG51" i="72"/>
  <c r="CG53" i="72" s="1"/>
  <c r="CG50" i="72"/>
  <c r="CG52" i="72" s="1"/>
  <c r="BB51" i="72"/>
  <c r="BB53" i="72" s="1"/>
  <c r="BB50" i="72"/>
  <c r="BB52" i="72" s="1"/>
  <c r="BF51" i="72"/>
  <c r="BF53" i="72" s="1"/>
  <c r="BF50" i="72"/>
  <c r="BF52" i="72" s="1"/>
  <c r="AM51" i="72"/>
  <c r="AM53" i="72" s="1"/>
  <c r="AM50" i="72"/>
  <c r="AM52" i="72" s="1"/>
  <c r="AD51" i="72"/>
  <c r="AD53" i="72" s="1"/>
  <c r="AD50" i="72"/>
  <c r="AD52" i="72" s="1"/>
  <c r="J50" i="72"/>
  <c r="J52" i="72" s="1"/>
  <c r="J51" i="72"/>
  <c r="J53" i="72" s="1"/>
  <c r="X50" i="72"/>
  <c r="X52" i="72" s="1"/>
  <c r="X51" i="72"/>
  <c r="X53" i="72" s="1"/>
  <c r="CD51" i="72"/>
  <c r="CD53" i="72" s="1"/>
  <c r="CD50" i="72"/>
  <c r="CD52" i="72" s="1"/>
  <c r="BK51" i="72"/>
  <c r="BK53" i="72" s="1"/>
  <c r="BK50" i="72"/>
  <c r="BK52" i="72" s="1"/>
  <c r="CL27" i="72"/>
  <c r="CL23" i="72"/>
  <c r="CL45" i="72"/>
  <c r="CL63" i="72" s="1"/>
  <c r="CL44" i="72"/>
  <c r="CL64" i="72" s="1"/>
  <c r="CL39" i="72"/>
  <c r="CL40" i="72"/>
  <c r="CL37" i="72"/>
  <c r="CL35" i="72"/>
  <c r="CL33" i="72"/>
  <c r="CL34" i="72"/>
  <c r="CL43" i="72"/>
  <c r="CL61" i="72" s="1"/>
  <c r="CL36" i="72"/>
  <c r="CL42" i="72"/>
  <c r="CL60" i="72" s="1"/>
  <c r="CL38" i="72"/>
  <c r="AG44" i="72"/>
  <c r="AG64" i="72" s="1"/>
  <c r="AG23" i="72"/>
  <c r="AG39" i="72"/>
  <c r="AG45" i="72"/>
  <c r="AG63" i="72" s="1"/>
  <c r="AG27" i="72"/>
  <c r="AG38" i="72"/>
  <c r="AG43" i="72"/>
  <c r="AG61" i="72" s="1"/>
  <c r="AG33" i="72"/>
  <c r="AG42" i="72"/>
  <c r="AG60" i="72" s="1"/>
  <c r="AG35" i="72"/>
  <c r="AG34" i="72"/>
  <c r="AG37" i="72"/>
  <c r="AG40" i="72"/>
  <c r="AG36" i="72"/>
  <c r="BD45" i="72"/>
  <c r="BD63" i="72" s="1"/>
  <c r="BD23" i="72"/>
  <c r="BD44" i="72"/>
  <c r="BD64" i="72" s="1"/>
  <c r="BD39" i="72"/>
  <c r="BD27" i="72"/>
  <c r="BD43" i="72"/>
  <c r="BD61" i="72" s="1"/>
  <c r="BD36" i="72"/>
  <c r="BD42" i="72"/>
  <c r="BD60" i="72" s="1"/>
  <c r="BD33" i="72"/>
  <c r="BD40" i="72"/>
  <c r="BD38" i="72"/>
  <c r="BD35" i="72"/>
  <c r="BD37" i="72"/>
  <c r="BD34" i="72"/>
  <c r="CA23" i="72"/>
  <c r="CA27" i="72"/>
  <c r="CA44" i="72"/>
  <c r="CA64" i="72" s="1"/>
  <c r="CA45" i="72"/>
  <c r="CA63" i="72" s="1"/>
  <c r="CA39" i="72"/>
  <c r="CA37" i="72"/>
  <c r="CA35" i="72"/>
  <c r="CA33" i="72"/>
  <c r="CA40" i="72"/>
  <c r="CA42" i="72"/>
  <c r="CA60" i="72" s="1"/>
  <c r="CA38" i="72"/>
  <c r="CA34" i="72"/>
  <c r="CA36" i="72"/>
  <c r="CA43" i="72"/>
  <c r="CA61" i="72" s="1"/>
  <c r="O23" i="72"/>
  <c r="O44" i="72"/>
  <c r="O64" i="72" s="1"/>
  <c r="O45" i="72"/>
  <c r="O63" i="72" s="1"/>
  <c r="O39" i="72"/>
  <c r="O27" i="72"/>
  <c r="O40" i="72"/>
  <c r="O34" i="72"/>
  <c r="O38" i="72"/>
  <c r="O36" i="72"/>
  <c r="O43" i="72"/>
  <c r="O61" i="72" s="1"/>
  <c r="O37" i="72"/>
  <c r="O35" i="72"/>
  <c r="O42" i="72"/>
  <c r="O60" i="72" s="1"/>
  <c r="AD27" i="72"/>
  <c r="AD45" i="72"/>
  <c r="AD63" i="72" s="1"/>
  <c r="AD23" i="72"/>
  <c r="AD39" i="72"/>
  <c r="AD44" i="72"/>
  <c r="AD64" i="72" s="1"/>
  <c r="AD42" i="72"/>
  <c r="AD60" i="72" s="1"/>
  <c r="AD37" i="72"/>
  <c r="AD33" i="72"/>
  <c r="AD40" i="72"/>
  <c r="AD35" i="72"/>
  <c r="AD38" i="72"/>
  <c r="AD36" i="72"/>
  <c r="AD34" i="72"/>
  <c r="AD43" i="72"/>
  <c r="AD61" i="72" s="1"/>
  <c r="AS39" i="72"/>
  <c r="AS23" i="72"/>
  <c r="AS45" i="72"/>
  <c r="AS63" i="72" s="1"/>
  <c r="AS44" i="72"/>
  <c r="AS64" i="72" s="1"/>
  <c r="AS27" i="72"/>
  <c r="AS35" i="72"/>
  <c r="AS33" i="72"/>
  <c r="AS42" i="72"/>
  <c r="AS60" i="72" s="1"/>
  <c r="AS40" i="72"/>
  <c r="AS38" i="72"/>
  <c r="AS36" i="72"/>
  <c r="AS43" i="72"/>
  <c r="AS61" i="72" s="1"/>
  <c r="AS37" i="72"/>
  <c r="AS34" i="72"/>
  <c r="BP44" i="72"/>
  <c r="BP64" i="72" s="1"/>
  <c r="BP23" i="72"/>
  <c r="BP39" i="72"/>
  <c r="BP45" i="72"/>
  <c r="BP63" i="72" s="1"/>
  <c r="BP27" i="72"/>
  <c r="BP40" i="72"/>
  <c r="BP38" i="72"/>
  <c r="BP36" i="72"/>
  <c r="BP37" i="72"/>
  <c r="BP42" i="72"/>
  <c r="BP60" i="72" s="1"/>
  <c r="BP33" i="72"/>
  <c r="BP35" i="72"/>
  <c r="BP34" i="72"/>
  <c r="BP43" i="72"/>
  <c r="BP61" i="72" s="1"/>
  <c r="AA45" i="72"/>
  <c r="AA63" i="72" s="1"/>
  <c r="AA23" i="72"/>
  <c r="AA39" i="72"/>
  <c r="AA27" i="72"/>
  <c r="AA44" i="72"/>
  <c r="AA64" i="72" s="1"/>
  <c r="AA40" i="72"/>
  <c r="AA36" i="72"/>
  <c r="AA37" i="72"/>
  <c r="AA33" i="72"/>
  <c r="AA43" i="72"/>
  <c r="AA61" i="72" s="1"/>
  <c r="AA38" i="72"/>
  <c r="AA35" i="72"/>
  <c r="AA34" i="72"/>
  <c r="AA42" i="72"/>
  <c r="AA60" i="72" s="1"/>
  <c r="CC51" i="72"/>
  <c r="CC53" i="72" s="1"/>
  <c r="CC50" i="72"/>
  <c r="CC52" i="72" s="1"/>
  <c r="BW51" i="72"/>
  <c r="BW53" i="72" s="1"/>
  <c r="BW50" i="72"/>
  <c r="BW52" i="72" s="1"/>
  <c r="BF27" i="72"/>
  <c r="BF45" i="72"/>
  <c r="BF63" i="72" s="1"/>
  <c r="BF23" i="72"/>
  <c r="BF44" i="72"/>
  <c r="BF64" i="72" s="1"/>
  <c r="BF39" i="72"/>
  <c r="BF38" i="72"/>
  <c r="BF35" i="72"/>
  <c r="BF42" i="72"/>
  <c r="BF60" i="72" s="1"/>
  <c r="BF43" i="72"/>
  <c r="BF61" i="72" s="1"/>
  <c r="BF36" i="72"/>
  <c r="BF40" i="72"/>
  <c r="BF33" i="72"/>
  <c r="BF34" i="72"/>
  <c r="BF37" i="72"/>
  <c r="BS51" i="72"/>
  <c r="BS53" i="72" s="1"/>
  <c r="BS50" i="72"/>
  <c r="BS52" i="72" s="1"/>
  <c r="AH50" i="72"/>
  <c r="AH52" i="72" s="1"/>
  <c r="AH51" i="72"/>
  <c r="AH53" i="72" s="1"/>
  <c r="V51" i="72"/>
  <c r="V53" i="72" s="1"/>
  <c r="V50" i="72"/>
  <c r="V52" i="72" s="1"/>
  <c r="Z27" i="72"/>
  <c r="Z45" i="72"/>
  <c r="Z63" i="72" s="1"/>
  <c r="Z23" i="72"/>
  <c r="Z44" i="72"/>
  <c r="Z64" i="72" s="1"/>
  <c r="Z39" i="72"/>
  <c r="Z34" i="72"/>
  <c r="Z42" i="72"/>
  <c r="Z60" i="72" s="1"/>
  <c r="Z36" i="72"/>
  <c r="Z40" i="72"/>
  <c r="Z37" i="72"/>
  <c r="Z38" i="72"/>
  <c r="Z35" i="72"/>
  <c r="Z43" i="72"/>
  <c r="Z61" i="72" s="1"/>
  <c r="Z33" i="72"/>
  <c r="CK45" i="72"/>
  <c r="CK63" i="72" s="1"/>
  <c r="CK23" i="72"/>
  <c r="CK44" i="72"/>
  <c r="CK64" i="72" s="1"/>
  <c r="CK39" i="72"/>
  <c r="CK27" i="72"/>
  <c r="CK38" i="72"/>
  <c r="CK36" i="72"/>
  <c r="CK43" i="72"/>
  <c r="CK61" i="72" s="1"/>
  <c r="CK34" i="72"/>
  <c r="CK35" i="72"/>
  <c r="CK42" i="72"/>
  <c r="CK60" i="72" s="1"/>
  <c r="CK37" i="72"/>
  <c r="CK40" i="72"/>
  <c r="CK33" i="72"/>
  <c r="Y45" i="72"/>
  <c r="Y63" i="72" s="1"/>
  <c r="Y23" i="72"/>
  <c r="Y44" i="72"/>
  <c r="Y64" i="72" s="1"/>
  <c r="Y39" i="72"/>
  <c r="Y27" i="72"/>
  <c r="Y36" i="72"/>
  <c r="Y43" i="72"/>
  <c r="Y61" i="72" s="1"/>
  <c r="Y34" i="72"/>
  <c r="Y37" i="72"/>
  <c r="Y33" i="72"/>
  <c r="Y42" i="72"/>
  <c r="Y60" i="72" s="1"/>
  <c r="Y35" i="72"/>
  <c r="Y40" i="72"/>
  <c r="Y38" i="72"/>
  <c r="AV27" i="72"/>
  <c r="AV39" i="72"/>
  <c r="AV45" i="72"/>
  <c r="AV63" i="72" s="1"/>
  <c r="AV23" i="72"/>
  <c r="AV44" i="72"/>
  <c r="AV64" i="72" s="1"/>
  <c r="AV34" i="72"/>
  <c r="AV43" i="72"/>
  <c r="AV61" i="72" s="1"/>
  <c r="AV33" i="72"/>
  <c r="AV42" i="72"/>
  <c r="AV60" i="72" s="1"/>
  <c r="AV36" i="72"/>
  <c r="AV37" i="72"/>
  <c r="AV40" i="72"/>
  <c r="AV38" i="72"/>
  <c r="AV35" i="72"/>
  <c r="BS23" i="72"/>
  <c r="BS27" i="72"/>
  <c r="BS44" i="72"/>
  <c r="BS64" i="72" s="1"/>
  <c r="BS39" i="72"/>
  <c r="BS45" i="72"/>
  <c r="BS63" i="72" s="1"/>
  <c r="BS43" i="72"/>
  <c r="BS61" i="72" s="1"/>
  <c r="BS37" i="72"/>
  <c r="BS35" i="72"/>
  <c r="BS42" i="72"/>
  <c r="BS60" i="72" s="1"/>
  <c r="BS38" i="72"/>
  <c r="BS34" i="72"/>
  <c r="BS40" i="72"/>
  <c r="BS36" i="72"/>
  <c r="BS33" i="72"/>
  <c r="CH45" i="72"/>
  <c r="CH63" i="72" s="1"/>
  <c r="CH23" i="72"/>
  <c r="CH27" i="72"/>
  <c r="CH44" i="72"/>
  <c r="CH64" i="72" s="1"/>
  <c r="CH39" i="72"/>
  <c r="CH36" i="72"/>
  <c r="CH34" i="72"/>
  <c r="CH33" i="72"/>
  <c r="CH42" i="72"/>
  <c r="CH60" i="72" s="1"/>
  <c r="CH35" i="72"/>
  <c r="CH40" i="72"/>
  <c r="CH43" i="72"/>
  <c r="CH61" i="72" s="1"/>
  <c r="CH38" i="72"/>
  <c r="CH37" i="72"/>
  <c r="V23" i="72"/>
  <c r="V45" i="72"/>
  <c r="V63" i="72" s="1"/>
  <c r="V27" i="72"/>
  <c r="V44" i="72"/>
  <c r="V64" i="72" s="1"/>
  <c r="V39" i="72"/>
  <c r="V36" i="72"/>
  <c r="V34" i="72"/>
  <c r="V37" i="72"/>
  <c r="V42" i="72"/>
  <c r="V60" i="72" s="1"/>
  <c r="V33" i="72"/>
  <c r="V40" i="72"/>
  <c r="V43" i="72"/>
  <c r="V61" i="72" s="1"/>
  <c r="V38" i="72"/>
  <c r="V35" i="72"/>
  <c r="AK27" i="72"/>
  <c r="AK44" i="72"/>
  <c r="AK64" i="72" s="1"/>
  <c r="AK23" i="72"/>
  <c r="AK39" i="72"/>
  <c r="AK45" i="72"/>
  <c r="AK63" i="72" s="1"/>
  <c r="AK42" i="72"/>
  <c r="AK60" i="72" s="1"/>
  <c r="AK38" i="72"/>
  <c r="AK40" i="72"/>
  <c r="AK35" i="72"/>
  <c r="AK37" i="72"/>
  <c r="AK36" i="72"/>
  <c r="AK34" i="72"/>
  <c r="AK33" i="72"/>
  <c r="AK43" i="72"/>
  <c r="AK61" i="72" s="1"/>
  <c r="BH39" i="72"/>
  <c r="BH27" i="72"/>
  <c r="BH45" i="72"/>
  <c r="BH63" i="72" s="1"/>
  <c r="BH44" i="72"/>
  <c r="BH64" i="72" s="1"/>
  <c r="BH23" i="72"/>
  <c r="BH34" i="72"/>
  <c r="BH40" i="72"/>
  <c r="BH43" i="72"/>
  <c r="BH61" i="72" s="1"/>
  <c r="BH38" i="72"/>
  <c r="BH42" i="72"/>
  <c r="BH60" i="72" s="1"/>
  <c r="BH33" i="72"/>
  <c r="BH36" i="72"/>
  <c r="BH35" i="72"/>
  <c r="BH37" i="72"/>
  <c r="CE45" i="72"/>
  <c r="CE63" i="72" s="1"/>
  <c r="CE44" i="72"/>
  <c r="CE64" i="72" s="1"/>
  <c r="CE23" i="72"/>
  <c r="CE39" i="72"/>
  <c r="CE27" i="72"/>
  <c r="CE43" i="72"/>
  <c r="CE61" i="72" s="1"/>
  <c r="CE37" i="72"/>
  <c r="CE35" i="72"/>
  <c r="CE33" i="72"/>
  <c r="CE40" i="72"/>
  <c r="CE42" i="72"/>
  <c r="CE60" i="72" s="1"/>
  <c r="CE36" i="72"/>
  <c r="CE38" i="72"/>
  <c r="CE34" i="72"/>
  <c r="S45" i="72"/>
  <c r="S63" i="72" s="1"/>
  <c r="S44" i="72"/>
  <c r="S64" i="72" s="1"/>
  <c r="S23" i="72"/>
  <c r="S39" i="72"/>
  <c r="S27" i="72"/>
  <c r="S35" i="72"/>
  <c r="S40" i="72"/>
  <c r="S34" i="72"/>
  <c r="S38" i="72"/>
  <c r="S36" i="72"/>
  <c r="S37" i="72"/>
  <c r="S42" i="72"/>
  <c r="S60" i="72" s="1"/>
  <c r="S43" i="72"/>
  <c r="S61" i="72" s="1"/>
  <c r="AY50" i="72"/>
  <c r="AY52" i="72" s="1"/>
  <c r="AY51" i="72"/>
  <c r="AY53" i="72" s="1"/>
  <c r="CE51" i="72"/>
  <c r="CE53" i="72" s="1"/>
  <c r="CE50" i="72"/>
  <c r="CE52" i="72" s="1"/>
  <c r="CL51" i="72"/>
  <c r="CL53" i="72" s="1"/>
  <c r="CL50" i="72"/>
  <c r="CL52" i="72" s="1"/>
  <c r="BR50" i="72"/>
  <c r="BR52" i="72" s="1"/>
  <c r="BR51" i="72"/>
  <c r="BR53" i="72" s="1"/>
  <c r="AE51" i="72"/>
  <c r="AE53" i="72" s="1"/>
  <c r="AE50" i="72"/>
  <c r="AE52" i="72" s="1"/>
  <c r="CF51" i="72"/>
  <c r="CF53" i="72" s="1"/>
  <c r="CF50" i="72"/>
  <c r="CF52" i="72" s="1"/>
  <c r="BH50" i="72"/>
  <c r="BH52" i="72" s="1"/>
  <c r="BH51" i="72"/>
  <c r="BH53" i="72" s="1"/>
  <c r="BC51" i="72"/>
  <c r="BC53" i="72" s="1"/>
  <c r="BC50" i="72"/>
  <c r="BC52" i="72" s="1"/>
  <c r="R51" i="72"/>
  <c r="R53" i="72" s="1"/>
  <c r="R50" i="72"/>
  <c r="R52" i="72" s="1"/>
  <c r="BX50" i="72"/>
  <c r="BX52" i="72" s="1"/>
  <c r="BX51" i="72"/>
  <c r="BX53" i="72" s="1"/>
  <c r="BA51" i="72"/>
  <c r="BA53" i="72" s="1"/>
  <c r="BA50" i="72"/>
  <c r="BA52" i="72" s="1"/>
  <c r="BM51" i="72"/>
  <c r="BM53" i="72" s="1"/>
  <c r="BM50" i="72"/>
  <c r="BM52" i="72" s="1"/>
  <c r="CD45" i="72"/>
  <c r="CD63" i="72" s="1"/>
  <c r="CD27" i="72"/>
  <c r="CD23" i="72"/>
  <c r="CD44" i="72"/>
  <c r="CD64" i="72" s="1"/>
  <c r="CD39" i="72"/>
  <c r="CD43" i="72"/>
  <c r="CD61" i="72" s="1"/>
  <c r="CD37" i="72"/>
  <c r="CD34" i="72"/>
  <c r="CD42" i="72"/>
  <c r="CD60" i="72" s="1"/>
  <c r="CD35" i="72"/>
  <c r="CD33" i="72"/>
  <c r="CD38" i="72"/>
  <c r="CD40" i="72"/>
  <c r="CD36" i="72"/>
  <c r="CC44" i="72"/>
  <c r="CC64" i="72" s="1"/>
  <c r="CC27" i="72"/>
  <c r="CC39" i="72"/>
  <c r="CC45" i="72"/>
  <c r="CC63" i="72" s="1"/>
  <c r="CC23" i="72"/>
  <c r="CC43" i="72"/>
  <c r="CC61" i="72" s="1"/>
  <c r="CC34" i="72"/>
  <c r="CC42" i="72"/>
  <c r="CC60" i="72" s="1"/>
  <c r="CC40" i="72"/>
  <c r="CC38" i="72"/>
  <c r="CC36" i="72"/>
  <c r="CC33" i="72"/>
  <c r="CC35" i="72"/>
  <c r="CC37" i="72"/>
  <c r="Q44" i="72"/>
  <c r="Q64" i="72" s="1"/>
  <c r="Q27" i="72"/>
  <c r="Q39" i="72"/>
  <c r="Q45" i="72"/>
  <c r="Q63" i="72" s="1"/>
  <c r="Q23" i="72"/>
  <c r="Q37" i="72"/>
  <c r="Q35" i="72"/>
  <c r="Q42" i="72"/>
  <c r="Q60" i="72" s="1"/>
  <c r="Q40" i="72"/>
  <c r="Q38" i="72"/>
  <c r="Q34" i="72"/>
  <c r="Q43" i="72"/>
  <c r="Q61" i="72" s="1"/>
  <c r="Q36" i="72"/>
  <c r="AN45" i="72"/>
  <c r="AN63" i="72" s="1"/>
  <c r="AN27" i="72"/>
  <c r="AN44" i="72"/>
  <c r="AN64" i="72" s="1"/>
  <c r="AN39" i="72"/>
  <c r="AN23" i="72"/>
  <c r="AN37" i="72"/>
  <c r="AN35" i="72"/>
  <c r="AN34" i="72"/>
  <c r="AN43" i="72"/>
  <c r="AN61" i="72" s="1"/>
  <c r="AN36" i="72"/>
  <c r="AN42" i="72"/>
  <c r="AN60" i="72" s="1"/>
  <c r="AN33" i="72"/>
  <c r="AN40" i="72"/>
  <c r="AN38" i="72"/>
  <c r="BK23" i="72"/>
  <c r="BK39" i="72"/>
  <c r="BK27" i="72"/>
  <c r="BK44" i="72"/>
  <c r="BK64" i="72" s="1"/>
  <c r="BK45" i="72"/>
  <c r="BK63" i="72" s="1"/>
  <c r="BK36" i="72"/>
  <c r="BK43" i="72"/>
  <c r="BK61" i="72" s="1"/>
  <c r="BK37" i="72"/>
  <c r="BK35" i="72"/>
  <c r="BK33" i="72"/>
  <c r="BK40" i="72"/>
  <c r="BK42" i="72"/>
  <c r="BK60" i="72" s="1"/>
  <c r="BK38" i="72"/>
  <c r="BK34" i="72"/>
  <c r="BZ23" i="72"/>
  <c r="BZ45" i="72"/>
  <c r="BZ63" i="72" s="1"/>
  <c r="BZ27" i="72"/>
  <c r="BZ44" i="72"/>
  <c r="BZ64" i="72" s="1"/>
  <c r="BZ39" i="72"/>
  <c r="BZ33" i="72"/>
  <c r="BZ40" i="72"/>
  <c r="BZ35" i="72"/>
  <c r="BZ38" i="72"/>
  <c r="BZ36" i="72"/>
  <c r="BZ34" i="72"/>
  <c r="BZ43" i="72"/>
  <c r="BZ61" i="72" s="1"/>
  <c r="BZ42" i="72"/>
  <c r="BZ60" i="72" s="1"/>
  <c r="BZ37" i="72"/>
  <c r="N45" i="72"/>
  <c r="N63" i="72" s="1"/>
  <c r="N23" i="72"/>
  <c r="N27" i="72"/>
  <c r="N44" i="72"/>
  <c r="N64" i="72" s="1"/>
  <c r="N39" i="72"/>
  <c r="N36" i="72"/>
  <c r="N34" i="72"/>
  <c r="N43" i="72"/>
  <c r="N61" i="72" s="1"/>
  <c r="N42" i="72"/>
  <c r="N60" i="72" s="1"/>
  <c r="N37" i="72"/>
  <c r="N35" i="72"/>
  <c r="N40" i="72"/>
  <c r="N38" i="72"/>
  <c r="AC39" i="72"/>
  <c r="AC27" i="72"/>
  <c r="AC45" i="72"/>
  <c r="AC63" i="72" s="1"/>
  <c r="AC44" i="72"/>
  <c r="AC64" i="72" s="1"/>
  <c r="AC23" i="72"/>
  <c r="AC42" i="72"/>
  <c r="AC60" i="72" s="1"/>
  <c r="AC40" i="72"/>
  <c r="AC38" i="72"/>
  <c r="AC43" i="72"/>
  <c r="AC61" i="72" s="1"/>
  <c r="AC37" i="72"/>
  <c r="AC36" i="72"/>
  <c r="AC34" i="72"/>
  <c r="AC33" i="72"/>
  <c r="AC35" i="72"/>
  <c r="AZ44" i="72"/>
  <c r="AZ64" i="72" s="1"/>
  <c r="AZ27" i="72"/>
  <c r="AZ39" i="72"/>
  <c r="AZ45" i="72"/>
  <c r="AZ63" i="72" s="1"/>
  <c r="AZ23" i="72"/>
  <c r="AZ43" i="72"/>
  <c r="AZ61" i="72" s="1"/>
  <c r="AZ34" i="72"/>
  <c r="AZ42" i="72"/>
  <c r="AZ60" i="72" s="1"/>
  <c r="AZ33" i="72"/>
  <c r="AZ35" i="72"/>
  <c r="AZ40" i="72"/>
  <c r="AZ36" i="72"/>
  <c r="AZ38" i="72"/>
  <c r="AZ37" i="72"/>
  <c r="BW45" i="72"/>
  <c r="BW63" i="72" s="1"/>
  <c r="BW27" i="72"/>
  <c r="BW23" i="72"/>
  <c r="BW44" i="72"/>
  <c r="BW64" i="72" s="1"/>
  <c r="BW39" i="72"/>
  <c r="BW36" i="72"/>
  <c r="BW43" i="72"/>
  <c r="BW61" i="72" s="1"/>
  <c r="BW37" i="72"/>
  <c r="BW33" i="72"/>
  <c r="BW40" i="72"/>
  <c r="BW34" i="72"/>
  <c r="BW35" i="72"/>
  <c r="BW38" i="72"/>
  <c r="BW42" i="72"/>
  <c r="BW60" i="72" s="1"/>
  <c r="K45" i="72"/>
  <c r="K63" i="72" s="1"/>
  <c r="K27" i="72"/>
  <c r="K23" i="72"/>
  <c r="K44" i="72"/>
  <c r="K64" i="72" s="1"/>
  <c r="K39" i="72"/>
  <c r="K35" i="72"/>
  <c r="K40" i="72"/>
  <c r="K42" i="72"/>
  <c r="K60" i="72" s="1"/>
  <c r="K38" i="72"/>
  <c r="K34" i="72"/>
  <c r="K37" i="72"/>
  <c r="K36" i="72"/>
  <c r="K43" i="72"/>
  <c r="K61" i="72" s="1"/>
  <c r="O51" i="72"/>
  <c r="O53" i="72" s="1"/>
  <c r="O50" i="72"/>
  <c r="O52" i="72" s="1"/>
  <c r="CK50" i="72"/>
  <c r="CK52" i="72" s="1"/>
  <c r="CK51" i="72"/>
  <c r="CK53" i="72" s="1"/>
  <c r="AC51" i="72"/>
  <c r="AC53" i="72" s="1"/>
  <c r="AC50" i="72"/>
  <c r="AC52" i="72" s="1"/>
  <c r="H51" i="72"/>
  <c r="H53" i="72" s="1"/>
  <c r="H50" i="72"/>
  <c r="H52" i="72" s="1"/>
  <c r="F10" i="81"/>
  <c r="D10" i="81"/>
  <c r="E10" i="81"/>
  <c r="C10" i="81"/>
  <c r="G10" i="81"/>
  <c r="E10" i="56"/>
  <c r="B6" i="57"/>
  <c r="C6" i="67" s="1"/>
  <c r="E6" i="67" s="1"/>
  <c r="F6" i="67" s="1"/>
  <c r="G6" i="67" s="1"/>
  <c r="H6" i="67" s="1"/>
  <c r="J11" i="60"/>
  <c r="BR55" i="72" l="1"/>
  <c r="Z27" i="108"/>
  <c r="Z28" i="108"/>
  <c r="X29" i="108"/>
  <c r="W37" i="108"/>
  <c r="W39" i="108" s="1"/>
  <c r="W38" i="108"/>
  <c r="W40" i="108" s="1"/>
  <c r="G32" i="108"/>
  <c r="CM60" i="88"/>
  <c r="G62" i="88"/>
  <c r="CM62" i="88" s="1"/>
  <c r="CM41" i="88"/>
  <c r="CM53" i="88"/>
  <c r="CM33" i="72"/>
  <c r="G55" i="72"/>
  <c r="CM23" i="72"/>
  <c r="G64" i="72"/>
  <c r="CM44" i="72"/>
  <c r="T55" i="72"/>
  <c r="G63" i="72"/>
  <c r="CM45" i="72"/>
  <c r="CM27" i="72"/>
  <c r="CM39" i="72"/>
  <c r="I55" i="72"/>
  <c r="B84" i="86"/>
  <c r="B83" i="86"/>
  <c r="B57" i="86"/>
  <c r="B56" i="86"/>
  <c r="B71" i="86"/>
  <c r="B41" i="86"/>
  <c r="B40" i="86"/>
  <c r="B70" i="86"/>
  <c r="P55" i="72"/>
  <c r="AN55" i="72"/>
  <c r="BG55" i="72"/>
  <c r="BU41" i="72"/>
  <c r="BU62" i="72" s="1"/>
  <c r="BU65" i="72" s="1"/>
  <c r="AM55" i="72"/>
  <c r="W55" i="72"/>
  <c r="BJ55" i="72"/>
  <c r="AS55" i="72"/>
  <c r="BP55" i="72"/>
  <c r="X41" i="72"/>
  <c r="X62" i="72" s="1"/>
  <c r="X65" i="72" s="1"/>
  <c r="BE55" i="72"/>
  <c r="L55" i="72"/>
  <c r="BN55" i="72"/>
  <c r="BS55" i="72"/>
  <c r="AI55" i="72"/>
  <c r="S55" i="72"/>
  <c r="BF55" i="72"/>
  <c r="AA41" i="72"/>
  <c r="AA62" i="72" s="1"/>
  <c r="AA65" i="72" s="1"/>
  <c r="CA55" i="72"/>
  <c r="AW55" i="72"/>
  <c r="J55" i="72"/>
  <c r="CD55" i="72"/>
  <c r="CL55" i="72"/>
  <c r="BA55" i="72"/>
  <c r="AJ41" i="72"/>
  <c r="AJ62" i="72" s="1"/>
  <c r="AJ65" i="72" s="1"/>
  <c r="AJ55" i="72"/>
  <c r="AU55" i="72"/>
  <c r="BC41" i="72"/>
  <c r="BC62" i="72" s="1"/>
  <c r="BC65" i="72" s="1"/>
  <c r="BC55" i="72"/>
  <c r="AY55" i="72"/>
  <c r="CB55" i="72"/>
  <c r="BZ41" i="72"/>
  <c r="BZ62" i="72" s="1"/>
  <c r="BZ65" i="72" s="1"/>
  <c r="BK55" i="72"/>
  <c r="CD41" i="72"/>
  <c r="CD62" i="72" s="1"/>
  <c r="CD65" i="72" s="1"/>
  <c r="V41" i="72"/>
  <c r="V62" i="72" s="1"/>
  <c r="V65" i="72" s="1"/>
  <c r="BS41" i="72"/>
  <c r="BS62" i="72" s="1"/>
  <c r="BS65" i="72" s="1"/>
  <c r="Z55" i="72"/>
  <c r="O41" i="72"/>
  <c r="O62" i="72" s="1"/>
  <c r="O65" i="72" s="1"/>
  <c r="L41" i="72"/>
  <c r="L62" i="72" s="1"/>
  <c r="L65" i="72" s="1"/>
  <c r="BX41" i="72"/>
  <c r="BX62" i="72" s="1"/>
  <c r="BX65" i="72" s="1"/>
  <c r="BN41" i="72"/>
  <c r="BN62" i="72" s="1"/>
  <c r="BN65" i="72" s="1"/>
  <c r="AT55" i="72"/>
  <c r="H55" i="72"/>
  <c r="BT41" i="72"/>
  <c r="BT62" i="72" s="1"/>
  <c r="BT65" i="72" s="1"/>
  <c r="BD55" i="72"/>
  <c r="BO41" i="72"/>
  <c r="BO62" i="72" s="1"/>
  <c r="BO65" i="72" s="1"/>
  <c r="CG55" i="72"/>
  <c r="CK41" i="72"/>
  <c r="CK62" i="72" s="1"/>
  <c r="CK65" i="72" s="1"/>
  <c r="BA41" i="72"/>
  <c r="BA62" i="72" s="1"/>
  <c r="BA65" i="72" s="1"/>
  <c r="BL41" i="72"/>
  <c r="BL62" i="72" s="1"/>
  <c r="BL65" i="72" s="1"/>
  <c r="G61" i="72"/>
  <c r="CM61" i="72" s="1"/>
  <c r="CM43" i="72"/>
  <c r="CM63" i="72"/>
  <c r="CB41" i="72"/>
  <c r="CB62" i="72" s="1"/>
  <c r="CB65" i="72" s="1"/>
  <c r="BV41" i="72"/>
  <c r="BV62" i="72" s="1"/>
  <c r="BV65" i="72" s="1"/>
  <c r="M41" i="72"/>
  <c r="M62" i="72" s="1"/>
  <c r="M65" i="72" s="1"/>
  <c r="BY41" i="72"/>
  <c r="BY62" i="72" s="1"/>
  <c r="BY65" i="72" s="1"/>
  <c r="AR41" i="72"/>
  <c r="AR62" i="72" s="1"/>
  <c r="AR65" i="72" s="1"/>
  <c r="R41" i="72"/>
  <c r="R62" i="72" s="1"/>
  <c r="R65" i="72" s="1"/>
  <c r="R55" i="72"/>
  <c r="AC41" i="72"/>
  <c r="AC62" i="72" s="1"/>
  <c r="AC65" i="72" s="1"/>
  <c r="AZ55" i="72"/>
  <c r="CC55" i="72"/>
  <c r="BH41" i="72"/>
  <c r="BH62" i="72" s="1"/>
  <c r="BH65" i="72" s="1"/>
  <c r="AK41" i="72"/>
  <c r="AK62" i="72" s="1"/>
  <c r="AK65" i="72" s="1"/>
  <c r="AV55" i="72"/>
  <c r="Y55" i="72"/>
  <c r="Z41" i="72"/>
  <c r="Z62" i="72" s="1"/>
  <c r="Z65" i="72" s="1"/>
  <c r="AD41" i="72"/>
  <c r="AD62" i="72" s="1"/>
  <c r="AD65" i="72" s="1"/>
  <c r="BD41" i="72"/>
  <c r="BD62" i="72" s="1"/>
  <c r="BD65" i="72" s="1"/>
  <c r="CL41" i="72"/>
  <c r="CL62" i="72" s="1"/>
  <c r="CL65" i="72" s="1"/>
  <c r="BL55" i="72"/>
  <c r="AO41" i="72"/>
  <c r="AO62" i="72" s="1"/>
  <c r="J41" i="72"/>
  <c r="J62" i="72" s="1"/>
  <c r="J65" i="72" s="1"/>
  <c r="AB55" i="72"/>
  <c r="CM38" i="72"/>
  <c r="M55" i="72"/>
  <c r="BJ41" i="72"/>
  <c r="BJ62" i="72" s="1"/>
  <c r="BJ65" i="72" s="1"/>
  <c r="X55" i="72"/>
  <c r="I41" i="72"/>
  <c r="I62" i="72" s="1"/>
  <c r="I65" i="72" s="1"/>
  <c r="N41" i="72"/>
  <c r="N62" i="72" s="1"/>
  <c r="N65" i="72" s="1"/>
  <c r="BH55" i="72"/>
  <c r="AK55" i="72"/>
  <c r="V55" i="72"/>
  <c r="CH41" i="72"/>
  <c r="CH62" i="72" s="1"/>
  <c r="CH65" i="72" s="1"/>
  <c r="AS41" i="72"/>
  <c r="AS62" i="72" s="1"/>
  <c r="AS65" i="72" s="1"/>
  <c r="O55" i="72"/>
  <c r="AG41" i="72"/>
  <c r="AG62" i="72" s="1"/>
  <c r="AG65" i="72" s="1"/>
  <c r="BX55" i="72"/>
  <c r="AL41" i="72"/>
  <c r="AL62" i="72" s="1"/>
  <c r="AL65" i="72" s="1"/>
  <c r="W41" i="72"/>
  <c r="W62" i="72" s="1"/>
  <c r="W65" i="72" s="1"/>
  <c r="AQ55" i="72"/>
  <c r="CF41" i="72"/>
  <c r="CF62" i="72" s="1"/>
  <c r="CF65" i="72" s="1"/>
  <c r="BI41" i="72"/>
  <c r="BI62" i="72" s="1"/>
  <c r="BI65" i="72" s="1"/>
  <c r="BT55" i="72"/>
  <c r="AW41" i="72"/>
  <c r="AW62" i="72" s="1"/>
  <c r="AW65" i="72" s="1"/>
  <c r="G53" i="72"/>
  <c r="CM51" i="72"/>
  <c r="AB41" i="72"/>
  <c r="AB62" i="72" s="1"/>
  <c r="AB65" i="72" s="1"/>
  <c r="G41" i="72"/>
  <c r="CM34" i="72"/>
  <c r="AX55" i="72"/>
  <c r="U41" i="72"/>
  <c r="U62" i="72" s="1"/>
  <c r="U65" i="72" s="1"/>
  <c r="U55" i="72"/>
  <c r="K41" i="72"/>
  <c r="K62" i="72" s="1"/>
  <c r="K65" i="72" s="1"/>
  <c r="AN41" i="72"/>
  <c r="AN62" i="72" s="1"/>
  <c r="AN65" i="72" s="1"/>
  <c r="Q55" i="72"/>
  <c r="S41" i="72"/>
  <c r="S62" i="72" s="1"/>
  <c r="S65" i="72" s="1"/>
  <c r="CE41" i="72"/>
  <c r="CE62" i="72" s="1"/>
  <c r="Y41" i="72"/>
  <c r="Y62" i="72" s="1"/>
  <c r="Y65" i="72" s="1"/>
  <c r="AA55" i="72"/>
  <c r="AD55" i="72"/>
  <c r="AG55" i="72"/>
  <c r="CI55" i="72"/>
  <c r="AO55" i="72"/>
  <c r="AH55" i="72"/>
  <c r="BI55" i="72"/>
  <c r="AE55" i="72"/>
  <c r="G52" i="72"/>
  <c r="CM52" i="72" s="1"/>
  <c r="CM50" i="72"/>
  <c r="CM35" i="72"/>
  <c r="AM41" i="72"/>
  <c r="AM62" i="72" s="1"/>
  <c r="AM65" i="72" s="1"/>
  <c r="BE41" i="72"/>
  <c r="BE62" i="72" s="1"/>
  <c r="BE65" i="72" s="1"/>
  <c r="BV55" i="72"/>
  <c r="AU41" i="72"/>
  <c r="AU62" i="72" s="1"/>
  <c r="AU65" i="72" s="1"/>
  <c r="BO55" i="72"/>
  <c r="AR55" i="72"/>
  <c r="AF41" i="72"/>
  <c r="AF62" i="72" s="1"/>
  <c r="AF65" i="72" s="1"/>
  <c r="G60" i="72"/>
  <c r="CM42" i="72"/>
  <c r="BW41" i="72"/>
  <c r="BW62" i="72" s="1"/>
  <c r="BW65" i="72" s="1"/>
  <c r="BW55" i="72"/>
  <c r="Q41" i="72"/>
  <c r="Q62" i="72" s="1"/>
  <c r="Q65" i="72" s="1"/>
  <c r="BP41" i="72"/>
  <c r="BP62" i="72" s="1"/>
  <c r="BP65" i="72" s="1"/>
  <c r="CA41" i="72"/>
  <c r="CA62" i="72" s="1"/>
  <c r="CA65" i="72" s="1"/>
  <c r="AL55" i="72"/>
  <c r="CI41" i="72"/>
  <c r="CI62" i="72" s="1"/>
  <c r="CI65" i="72" s="1"/>
  <c r="AH41" i="72"/>
  <c r="AH62" i="72" s="1"/>
  <c r="AH65" i="72" s="1"/>
  <c r="AQ41" i="72"/>
  <c r="AQ62" i="72" s="1"/>
  <c r="AQ65" i="72" s="1"/>
  <c r="CF55" i="72"/>
  <c r="AY41" i="72"/>
  <c r="AY62" i="72" s="1"/>
  <c r="AY65" i="72" s="1"/>
  <c r="CM37" i="72"/>
  <c r="BQ41" i="72"/>
  <c r="BQ62" i="72" s="1"/>
  <c r="BQ65" i="72" s="1"/>
  <c r="BB41" i="72"/>
  <c r="BB62" i="72" s="1"/>
  <c r="BB65" i="72" s="1"/>
  <c r="BB55" i="72"/>
  <c r="P41" i="72"/>
  <c r="P62" i="72" s="1"/>
  <c r="P65" i="72" s="1"/>
  <c r="BM41" i="72"/>
  <c r="BM62" i="72" s="1"/>
  <c r="BM65" i="72" s="1"/>
  <c r="BR41" i="72"/>
  <c r="BR62" i="72" s="1"/>
  <c r="BR65" i="72" s="1"/>
  <c r="CE65" i="72"/>
  <c r="CE55" i="72"/>
  <c r="BF41" i="72"/>
  <c r="BF62" i="72" s="1"/>
  <c r="BF65" i="72" s="1"/>
  <c r="AI41" i="72"/>
  <c r="AI62" i="72" s="1"/>
  <c r="AI65" i="72" s="1"/>
  <c r="AO65" i="72"/>
  <c r="T41" i="72"/>
  <c r="T62" i="72" s="1"/>
  <c r="T65" i="72" s="1"/>
  <c r="AT41" i="72"/>
  <c r="AT62" i="72" s="1"/>
  <c r="AT65" i="72" s="1"/>
  <c r="H41" i="72"/>
  <c r="H62" i="72" s="1"/>
  <c r="H65" i="72" s="1"/>
  <c r="CM36" i="72"/>
  <c r="BQ55" i="72"/>
  <c r="BG41" i="72"/>
  <c r="BG62" i="72" s="1"/>
  <c r="BG65" i="72" s="1"/>
  <c r="BZ55" i="72"/>
  <c r="K55" i="72"/>
  <c r="AZ41" i="72"/>
  <c r="AZ62" i="72" s="1"/>
  <c r="AZ65" i="72" s="1"/>
  <c r="AC55" i="72"/>
  <c r="N55" i="72"/>
  <c r="BK41" i="72"/>
  <c r="BK62" i="72" s="1"/>
  <c r="BK65" i="72" s="1"/>
  <c r="CC41" i="72"/>
  <c r="CC62" i="72" s="1"/>
  <c r="CC65" i="72" s="1"/>
  <c r="CH55" i="72"/>
  <c r="AV41" i="72"/>
  <c r="AV62" i="72" s="1"/>
  <c r="AV65" i="72" s="1"/>
  <c r="CK55" i="72"/>
  <c r="AE41" i="72"/>
  <c r="AE62" i="72" s="1"/>
  <c r="AE65" i="72" s="1"/>
  <c r="AP41" i="72"/>
  <c r="AP62" i="72" s="1"/>
  <c r="AP65" i="72" s="1"/>
  <c r="AP55" i="72"/>
  <c r="CM40" i="72"/>
  <c r="CM64" i="72"/>
  <c r="BY55" i="72"/>
  <c r="CJ41" i="72"/>
  <c r="CJ62" i="72" s="1"/>
  <c r="CJ65" i="72" s="1"/>
  <c r="CJ55" i="72"/>
  <c r="AX41" i="72"/>
  <c r="AX62" i="72" s="1"/>
  <c r="AX65" i="72" s="1"/>
  <c r="CG41" i="72"/>
  <c r="CG62" i="72" s="1"/>
  <c r="CG65" i="72" s="1"/>
  <c r="E4" i="51"/>
  <c r="X38" i="108" l="1"/>
  <c r="X40" i="108" s="1"/>
  <c r="Y29" i="108"/>
  <c r="X37" i="108"/>
  <c r="X39" i="108" s="1"/>
  <c r="G65" i="88"/>
  <c r="CM55" i="72"/>
  <c r="CM60" i="72"/>
  <c r="CM41" i="72"/>
  <c r="G62" i="72"/>
  <c r="CM62" i="72" s="1"/>
  <c r="CM53" i="72"/>
  <c r="C8" i="17"/>
  <c r="E9" i="17"/>
  <c r="Z29" i="108" l="1"/>
  <c r="Y38" i="108"/>
  <c r="Y40" i="108" s="1"/>
  <c r="Y37" i="108"/>
  <c r="Y39" i="108" s="1"/>
  <c r="CM65" i="88"/>
  <c r="CM67" i="88" s="1"/>
  <c r="G67" i="88"/>
  <c r="G68" i="88" s="1"/>
  <c r="G65" i="72"/>
  <c r="D11" i="17"/>
  <c r="E11" i="17" s="1"/>
  <c r="D8" i="17"/>
  <c r="Z38" i="108" l="1"/>
  <c r="Z40" i="108" s="1"/>
  <c r="AA29" i="108"/>
  <c r="Z37" i="108"/>
  <c r="Z39" i="108" s="1"/>
  <c r="G69" i="88"/>
  <c r="CM69" i="88" s="1"/>
  <c r="CM68" i="88"/>
  <c r="G70" i="88"/>
  <c r="CM70" i="88" s="1"/>
  <c r="CM65" i="72"/>
  <c r="AA38" i="108" l="1"/>
  <c r="AA40" i="108" s="1"/>
  <c r="G35" i="108" s="1"/>
  <c r="AA37" i="108"/>
  <c r="AA39" i="108" s="1"/>
  <c r="G34" i="108" s="1"/>
  <c r="K11" i="17"/>
  <c r="K15" i="17" l="1"/>
  <c r="G15" i="47" l="1"/>
  <c r="G19" i="72" s="1"/>
  <c r="B8" i="47"/>
  <c r="K7" i="82" l="1"/>
  <c r="G7" i="82"/>
  <c r="J7" i="82"/>
  <c r="I7" i="82"/>
  <c r="E7" i="82"/>
  <c r="B7" i="82"/>
  <c r="H7" i="82"/>
  <c r="C7" i="82"/>
  <c r="F7" i="82"/>
  <c r="D7" i="82"/>
  <c r="J19" i="72"/>
  <c r="R19" i="72"/>
  <c r="Z19" i="72"/>
  <c r="AH19" i="72"/>
  <c r="AP19" i="72"/>
  <c r="AX19" i="72"/>
  <c r="BF19" i="72"/>
  <c r="BN19" i="72"/>
  <c r="BV19" i="72"/>
  <c r="CD19" i="72"/>
  <c r="CL19" i="72"/>
  <c r="I19" i="72"/>
  <c r="BE19" i="72"/>
  <c r="K19" i="72"/>
  <c r="S19" i="72"/>
  <c r="AA19" i="72"/>
  <c r="AI19" i="72"/>
  <c r="AQ19" i="72"/>
  <c r="AY19" i="72"/>
  <c r="BG19" i="72"/>
  <c r="BO19" i="72"/>
  <c r="BW19" i="72"/>
  <c r="CE19" i="72"/>
  <c r="CK19" i="72"/>
  <c r="L19" i="72"/>
  <c r="T19" i="72"/>
  <c r="AB19" i="72"/>
  <c r="AJ19" i="72"/>
  <c r="AR19" i="72"/>
  <c r="AZ19" i="72"/>
  <c r="BH19" i="72"/>
  <c r="BP19" i="72"/>
  <c r="BX19" i="72"/>
  <c r="CF19" i="72"/>
  <c r="BU19" i="72"/>
  <c r="M19" i="72"/>
  <c r="U19" i="72"/>
  <c r="AC19" i="72"/>
  <c r="AK19" i="72"/>
  <c r="AS19" i="72"/>
  <c r="BA19" i="72"/>
  <c r="BI19" i="72"/>
  <c r="BQ19" i="72"/>
  <c r="BY19" i="72"/>
  <c r="CG19" i="72"/>
  <c r="AW19" i="72"/>
  <c r="N19" i="72"/>
  <c r="V19" i="72"/>
  <c r="AD19" i="72"/>
  <c r="AL19" i="72"/>
  <c r="AT19" i="72"/>
  <c r="BB19" i="72"/>
  <c r="BJ19" i="72"/>
  <c r="BR19" i="72"/>
  <c r="BZ19" i="72"/>
  <c r="CH19" i="72"/>
  <c r="Q19" i="72"/>
  <c r="AO19" i="72"/>
  <c r="CC19" i="72"/>
  <c r="O19" i="72"/>
  <c r="W19" i="72"/>
  <c r="AE19" i="72"/>
  <c r="AM19" i="72"/>
  <c r="AU19" i="72"/>
  <c r="BC19" i="72"/>
  <c r="BK19" i="72"/>
  <c r="BS19" i="72"/>
  <c r="CA19" i="72"/>
  <c r="CI19" i="72"/>
  <c r="Y19" i="72"/>
  <c r="BM19" i="72"/>
  <c r="H19" i="72"/>
  <c r="P19" i="72"/>
  <c r="X19" i="72"/>
  <c r="AF19" i="72"/>
  <c r="AN19" i="72"/>
  <c r="AV19" i="72"/>
  <c r="BD19" i="72"/>
  <c r="BL19" i="72"/>
  <c r="BT19" i="72"/>
  <c r="CB19" i="72"/>
  <c r="CJ19" i="72"/>
  <c r="AG19" i="72"/>
  <c r="C17" i="47"/>
  <c r="H2" i="82" s="1"/>
  <c r="H4" i="82" s="1"/>
  <c r="C14" i="47"/>
  <c r="C11" i="47"/>
  <c r="C20" i="47"/>
  <c r="K2" i="82" s="1"/>
  <c r="K4" i="82" s="1"/>
  <c r="C7" i="47"/>
  <c r="G18" i="47"/>
  <c r="G14" i="47"/>
  <c r="C21" i="47"/>
  <c r="C16" i="47"/>
  <c r="G2" i="82" s="1"/>
  <c r="G4" i="82" s="1"/>
  <c r="C4" i="47"/>
  <c r="G21" i="47"/>
  <c r="G17" i="47"/>
  <c r="G13" i="47"/>
  <c r="G20" i="47"/>
  <c r="H20" i="47" s="1"/>
  <c r="G16" i="47"/>
  <c r="G12" i="47"/>
  <c r="C18" i="47"/>
  <c r="I2" i="82" s="1"/>
  <c r="I4" i="82" s="1"/>
  <c r="C13" i="47"/>
  <c r="D2" i="82" s="1"/>
  <c r="D4" i="82" s="1"/>
  <c r="G19" i="47"/>
  <c r="C12" i="47"/>
  <c r="C2" i="82" s="1"/>
  <c r="C4" i="82" s="1"/>
  <c r="C6" i="47"/>
  <c r="C19" i="47"/>
  <c r="J2" i="82" s="1"/>
  <c r="J4" i="82" s="1"/>
  <c r="C15" i="47"/>
  <c r="C5" i="47"/>
  <c r="CM19" i="72" l="1"/>
  <c r="D21" i="82"/>
  <c r="D14" i="82"/>
  <c r="C12" i="17"/>
  <c r="E2" i="82"/>
  <c r="E4" i="82" s="1"/>
  <c r="E14" i="82" s="1"/>
  <c r="C19" i="82"/>
  <c r="C20" i="82" s="1"/>
  <c r="C12" i="82"/>
  <c r="C13" i="82" s="1"/>
  <c r="C8" i="82"/>
  <c r="H21" i="82"/>
  <c r="H14" i="82"/>
  <c r="H19" i="82"/>
  <c r="H20" i="82" s="1"/>
  <c r="H12" i="82"/>
  <c r="H13" i="82" s="1"/>
  <c r="H8" i="82"/>
  <c r="B19" i="82"/>
  <c r="B20" i="82" s="1"/>
  <c r="B12" i="82"/>
  <c r="B13" i="82" s="1"/>
  <c r="E19" i="82"/>
  <c r="E20" i="82" s="1"/>
  <c r="E12" i="82"/>
  <c r="E13" i="82" s="1"/>
  <c r="E8" i="82"/>
  <c r="I19" i="82"/>
  <c r="I20" i="82" s="1"/>
  <c r="I8" i="82"/>
  <c r="I12" i="82"/>
  <c r="I13" i="82" s="1"/>
  <c r="I21" i="82"/>
  <c r="I14" i="82"/>
  <c r="J19" i="82"/>
  <c r="J20" i="82" s="1"/>
  <c r="J8" i="82"/>
  <c r="J12" i="82"/>
  <c r="J13" i="82" s="1"/>
  <c r="J21" i="82"/>
  <c r="J14" i="82"/>
  <c r="K21" i="82"/>
  <c r="K14" i="82"/>
  <c r="D19" i="82"/>
  <c r="D20" i="82" s="1"/>
  <c r="D8" i="82"/>
  <c r="D12" i="82"/>
  <c r="D13" i="82" s="1"/>
  <c r="G19" i="82"/>
  <c r="G20" i="82" s="1"/>
  <c r="G12" i="82"/>
  <c r="G13" i="82" s="1"/>
  <c r="G8" i="82"/>
  <c r="G14" i="82"/>
  <c r="G21" i="82"/>
  <c r="H15" i="47"/>
  <c r="F2" i="82"/>
  <c r="F4" i="82" s="1"/>
  <c r="C21" i="82"/>
  <c r="C14" i="82"/>
  <c r="H21" i="47"/>
  <c r="H11" i="47"/>
  <c r="B2" i="82"/>
  <c r="B4" i="82" s="1"/>
  <c r="F19" i="82"/>
  <c r="F20" i="82" s="1"/>
  <c r="F8" i="82"/>
  <c r="F12" i="82"/>
  <c r="F13" i="82" s="1"/>
  <c r="K19" i="82"/>
  <c r="K20" i="82" s="1"/>
  <c r="K8" i="82"/>
  <c r="K12" i="82"/>
  <c r="K13" i="82" s="1"/>
  <c r="H18" i="47"/>
  <c r="H19" i="47"/>
  <c r="H17" i="72"/>
  <c r="H66" i="72" s="1"/>
  <c r="H67" i="72" s="1"/>
  <c r="P17" i="72"/>
  <c r="P66" i="72" s="1"/>
  <c r="P67" i="72" s="1"/>
  <c r="X17" i="72"/>
  <c r="X66" i="72" s="1"/>
  <c r="X67" i="72" s="1"/>
  <c r="AF17" i="72"/>
  <c r="AF66" i="72" s="1"/>
  <c r="AF67" i="72" s="1"/>
  <c r="AN17" i="72"/>
  <c r="AN66" i="72" s="1"/>
  <c r="AN67" i="72" s="1"/>
  <c r="AV17" i="72"/>
  <c r="AV66" i="72" s="1"/>
  <c r="AV67" i="72" s="1"/>
  <c r="BD17" i="72"/>
  <c r="BD66" i="72" s="1"/>
  <c r="BD67" i="72" s="1"/>
  <c r="BL17" i="72"/>
  <c r="BL66" i="72" s="1"/>
  <c r="BL67" i="72" s="1"/>
  <c r="BT17" i="72"/>
  <c r="BT66" i="72" s="1"/>
  <c r="BT67" i="72" s="1"/>
  <c r="CB17" i="72"/>
  <c r="CB66" i="72" s="1"/>
  <c r="CB67" i="72" s="1"/>
  <c r="CJ17" i="72"/>
  <c r="CJ66" i="72" s="1"/>
  <c r="CJ67" i="72" s="1"/>
  <c r="AM17" i="72"/>
  <c r="AM66" i="72" s="1"/>
  <c r="AM67" i="72" s="1"/>
  <c r="BK17" i="72"/>
  <c r="BK66" i="72" s="1"/>
  <c r="BK67" i="72" s="1"/>
  <c r="I17" i="72"/>
  <c r="I66" i="72" s="1"/>
  <c r="I67" i="72" s="1"/>
  <c r="Q17" i="72"/>
  <c r="Q66" i="72" s="1"/>
  <c r="Q67" i="72" s="1"/>
  <c r="Y17" i="72"/>
  <c r="Y66" i="72" s="1"/>
  <c r="Y67" i="72" s="1"/>
  <c r="AG17" i="72"/>
  <c r="AG66" i="72" s="1"/>
  <c r="AG67" i="72" s="1"/>
  <c r="AO17" i="72"/>
  <c r="AO66" i="72" s="1"/>
  <c r="AO67" i="72" s="1"/>
  <c r="AW17" i="72"/>
  <c r="AW66" i="72" s="1"/>
  <c r="AW67" i="72" s="1"/>
  <c r="BE17" i="72"/>
  <c r="BE66" i="72" s="1"/>
  <c r="BE67" i="72" s="1"/>
  <c r="BM17" i="72"/>
  <c r="BM66" i="72" s="1"/>
  <c r="BM67" i="72" s="1"/>
  <c r="BU17" i="72"/>
  <c r="BU66" i="72" s="1"/>
  <c r="BU67" i="72" s="1"/>
  <c r="CC17" i="72"/>
  <c r="CC66" i="72" s="1"/>
  <c r="CC67" i="72" s="1"/>
  <c r="CK17" i="72"/>
  <c r="CK66" i="72" s="1"/>
  <c r="CK67" i="72" s="1"/>
  <c r="W17" i="72"/>
  <c r="W66" i="72" s="1"/>
  <c r="W67" i="72" s="1"/>
  <c r="J17" i="72"/>
  <c r="J66" i="72" s="1"/>
  <c r="J67" i="72" s="1"/>
  <c r="R17" i="72"/>
  <c r="R66" i="72" s="1"/>
  <c r="R67" i="72" s="1"/>
  <c r="Z17" i="72"/>
  <c r="Z66" i="72" s="1"/>
  <c r="Z67" i="72" s="1"/>
  <c r="AH17" i="72"/>
  <c r="AH66" i="72" s="1"/>
  <c r="AH67" i="72" s="1"/>
  <c r="AP17" i="72"/>
  <c r="AP66" i="72" s="1"/>
  <c r="AP67" i="72" s="1"/>
  <c r="AX17" i="72"/>
  <c r="AX66" i="72" s="1"/>
  <c r="AX67" i="72" s="1"/>
  <c r="BF17" i="72"/>
  <c r="BF66" i="72" s="1"/>
  <c r="BF67" i="72" s="1"/>
  <c r="BN17" i="72"/>
  <c r="BN66" i="72" s="1"/>
  <c r="BN67" i="72" s="1"/>
  <c r="BV17" i="72"/>
  <c r="BV66" i="72" s="1"/>
  <c r="BV67" i="72" s="1"/>
  <c r="CD17" i="72"/>
  <c r="CD66" i="72" s="1"/>
  <c r="CD67" i="72" s="1"/>
  <c r="CL17" i="72"/>
  <c r="CL66" i="72" s="1"/>
  <c r="CL67" i="72" s="1"/>
  <c r="BS17" i="72"/>
  <c r="BS66" i="72" s="1"/>
  <c r="BS67" i="72" s="1"/>
  <c r="K17" i="72"/>
  <c r="K66" i="72" s="1"/>
  <c r="K67" i="72" s="1"/>
  <c r="S17" i="72"/>
  <c r="S66" i="72" s="1"/>
  <c r="S67" i="72" s="1"/>
  <c r="AA17" i="72"/>
  <c r="AA66" i="72" s="1"/>
  <c r="AA67" i="72" s="1"/>
  <c r="AI17" i="72"/>
  <c r="AI66" i="72" s="1"/>
  <c r="AI67" i="72" s="1"/>
  <c r="AQ17" i="72"/>
  <c r="AQ66" i="72" s="1"/>
  <c r="AQ67" i="72" s="1"/>
  <c r="AY17" i="72"/>
  <c r="AY66" i="72" s="1"/>
  <c r="AY67" i="72" s="1"/>
  <c r="BG17" i="72"/>
  <c r="BG66" i="72" s="1"/>
  <c r="BG67" i="72" s="1"/>
  <c r="BO17" i="72"/>
  <c r="BO66" i="72" s="1"/>
  <c r="BO67" i="72" s="1"/>
  <c r="BW17" i="72"/>
  <c r="BW66" i="72" s="1"/>
  <c r="BW67" i="72" s="1"/>
  <c r="CE17" i="72"/>
  <c r="CE66" i="72" s="1"/>
  <c r="CE67" i="72" s="1"/>
  <c r="AU17" i="72"/>
  <c r="AU66" i="72" s="1"/>
  <c r="AU67" i="72" s="1"/>
  <c r="L17" i="72"/>
  <c r="L66" i="72" s="1"/>
  <c r="L67" i="72" s="1"/>
  <c r="T17" i="72"/>
  <c r="T66" i="72" s="1"/>
  <c r="T67" i="72" s="1"/>
  <c r="AB17" i="72"/>
  <c r="AB66" i="72" s="1"/>
  <c r="AB67" i="72" s="1"/>
  <c r="AJ17" i="72"/>
  <c r="AJ66" i="72" s="1"/>
  <c r="AJ67" i="72" s="1"/>
  <c r="AR17" i="72"/>
  <c r="AR66" i="72" s="1"/>
  <c r="AR67" i="72" s="1"/>
  <c r="AZ17" i="72"/>
  <c r="AZ66" i="72" s="1"/>
  <c r="AZ67" i="72" s="1"/>
  <c r="BH17" i="72"/>
  <c r="BH66" i="72" s="1"/>
  <c r="BH67" i="72" s="1"/>
  <c r="BP17" i="72"/>
  <c r="BP66" i="72" s="1"/>
  <c r="BP67" i="72" s="1"/>
  <c r="BX17" i="72"/>
  <c r="BX66" i="72" s="1"/>
  <c r="BX67" i="72" s="1"/>
  <c r="CF17" i="72"/>
  <c r="CF66" i="72" s="1"/>
  <c r="CF67" i="72" s="1"/>
  <c r="G17" i="72"/>
  <c r="AE17" i="72"/>
  <c r="AE66" i="72" s="1"/>
  <c r="AE67" i="72" s="1"/>
  <c r="CA17" i="72"/>
  <c r="CA66" i="72" s="1"/>
  <c r="CA67" i="72" s="1"/>
  <c r="M17" i="72"/>
  <c r="M66" i="72" s="1"/>
  <c r="M67" i="72" s="1"/>
  <c r="U17" i="72"/>
  <c r="U66" i="72" s="1"/>
  <c r="U67" i="72" s="1"/>
  <c r="AC17" i="72"/>
  <c r="AC66" i="72" s="1"/>
  <c r="AC67" i="72" s="1"/>
  <c r="AK17" i="72"/>
  <c r="AK66" i="72" s="1"/>
  <c r="AK67" i="72" s="1"/>
  <c r="AS17" i="72"/>
  <c r="AS66" i="72" s="1"/>
  <c r="AS67" i="72" s="1"/>
  <c r="BA17" i="72"/>
  <c r="BA66" i="72" s="1"/>
  <c r="BA67" i="72" s="1"/>
  <c r="BI17" i="72"/>
  <c r="BI66" i="72" s="1"/>
  <c r="BI67" i="72" s="1"/>
  <c r="BQ17" i="72"/>
  <c r="BQ66" i="72" s="1"/>
  <c r="BQ67" i="72" s="1"/>
  <c r="BY17" i="72"/>
  <c r="BY66" i="72" s="1"/>
  <c r="BY67" i="72" s="1"/>
  <c r="CG17" i="72"/>
  <c r="CG66" i="72" s="1"/>
  <c r="CG67" i="72" s="1"/>
  <c r="O17" i="72"/>
  <c r="O66" i="72" s="1"/>
  <c r="O67" i="72" s="1"/>
  <c r="CI17" i="72"/>
  <c r="CI66" i="72" s="1"/>
  <c r="CI67" i="72" s="1"/>
  <c r="N17" i="72"/>
  <c r="N66" i="72" s="1"/>
  <c r="N67" i="72" s="1"/>
  <c r="V17" i="72"/>
  <c r="V66" i="72" s="1"/>
  <c r="V67" i="72" s="1"/>
  <c r="AD17" i="72"/>
  <c r="AD66" i="72" s="1"/>
  <c r="AD67" i="72" s="1"/>
  <c r="AL17" i="72"/>
  <c r="AL66" i="72" s="1"/>
  <c r="AL67" i="72" s="1"/>
  <c r="AT17" i="72"/>
  <c r="AT66" i="72" s="1"/>
  <c r="AT67" i="72" s="1"/>
  <c r="BB17" i="72"/>
  <c r="BB66" i="72" s="1"/>
  <c r="BB67" i="72" s="1"/>
  <c r="BJ17" i="72"/>
  <c r="BJ66" i="72" s="1"/>
  <c r="BJ67" i="72" s="1"/>
  <c r="BR17" i="72"/>
  <c r="BR66" i="72" s="1"/>
  <c r="BR67" i="72" s="1"/>
  <c r="BZ17" i="72"/>
  <c r="BZ66" i="72" s="1"/>
  <c r="BZ67" i="72" s="1"/>
  <c r="CH17" i="72"/>
  <c r="CH66" i="72" s="1"/>
  <c r="CH67" i="72" s="1"/>
  <c r="BC17" i="72"/>
  <c r="BC66" i="72" s="1"/>
  <c r="BC67" i="72" s="1"/>
  <c r="H12" i="47"/>
  <c r="H16" i="47"/>
  <c r="M18" i="72"/>
  <c r="M54" i="72" s="1"/>
  <c r="U18" i="72"/>
  <c r="U54" i="72" s="1"/>
  <c r="AC18" i="72"/>
  <c r="AC54" i="72" s="1"/>
  <c r="AK18" i="72"/>
  <c r="AK54" i="72" s="1"/>
  <c r="AS18" i="72"/>
  <c r="AS54" i="72" s="1"/>
  <c r="BA18" i="72"/>
  <c r="BA54" i="72" s="1"/>
  <c r="BI18" i="72"/>
  <c r="BI54" i="72" s="1"/>
  <c r="BQ18" i="72"/>
  <c r="BQ54" i="72" s="1"/>
  <c r="BY18" i="72"/>
  <c r="BY54" i="72" s="1"/>
  <c r="CG18" i="72"/>
  <c r="CG54" i="72" s="1"/>
  <c r="L18" i="72"/>
  <c r="L54" i="72" s="1"/>
  <c r="AZ18" i="72"/>
  <c r="AZ54" i="72" s="1"/>
  <c r="BP18" i="72"/>
  <c r="BP54" i="72" s="1"/>
  <c r="N18" i="72"/>
  <c r="N54" i="72" s="1"/>
  <c r="V18" i="72"/>
  <c r="V54" i="72" s="1"/>
  <c r="AD18" i="72"/>
  <c r="AD54" i="72" s="1"/>
  <c r="AL18" i="72"/>
  <c r="AL54" i="72" s="1"/>
  <c r="AT18" i="72"/>
  <c r="AT54" i="72" s="1"/>
  <c r="BB18" i="72"/>
  <c r="BB54" i="72" s="1"/>
  <c r="BJ18" i="72"/>
  <c r="BJ54" i="72" s="1"/>
  <c r="BR18" i="72"/>
  <c r="BR54" i="72" s="1"/>
  <c r="BZ18" i="72"/>
  <c r="BZ54" i="72" s="1"/>
  <c r="CH18" i="72"/>
  <c r="CH54" i="72" s="1"/>
  <c r="O18" i="72"/>
  <c r="O54" i="72" s="1"/>
  <c r="W18" i="72"/>
  <c r="W54" i="72" s="1"/>
  <c r="AE18" i="72"/>
  <c r="AE54" i="72" s="1"/>
  <c r="AM18" i="72"/>
  <c r="AM54" i="72" s="1"/>
  <c r="AU18" i="72"/>
  <c r="AU54" i="72" s="1"/>
  <c r="BC18" i="72"/>
  <c r="BC54" i="72" s="1"/>
  <c r="BK18" i="72"/>
  <c r="BK54" i="72" s="1"/>
  <c r="BS18" i="72"/>
  <c r="BS54" i="72" s="1"/>
  <c r="CA18" i="72"/>
  <c r="CA54" i="72" s="1"/>
  <c r="CI18" i="72"/>
  <c r="CI54" i="72" s="1"/>
  <c r="CF18" i="72"/>
  <c r="CF54" i="72" s="1"/>
  <c r="H18" i="72"/>
  <c r="H54" i="72" s="1"/>
  <c r="P18" i="72"/>
  <c r="P54" i="72" s="1"/>
  <c r="X18" i="72"/>
  <c r="X54" i="72" s="1"/>
  <c r="AF18" i="72"/>
  <c r="AF54" i="72" s="1"/>
  <c r="AN18" i="72"/>
  <c r="AN54" i="72" s="1"/>
  <c r="AV18" i="72"/>
  <c r="AV54" i="72" s="1"/>
  <c r="BD18" i="72"/>
  <c r="BD54" i="72" s="1"/>
  <c r="BL18" i="72"/>
  <c r="BL54" i="72" s="1"/>
  <c r="BT18" i="72"/>
  <c r="BT54" i="72" s="1"/>
  <c r="CB18" i="72"/>
  <c r="CB54" i="72" s="1"/>
  <c r="CJ18" i="72"/>
  <c r="CJ54" i="72" s="1"/>
  <c r="T18" i="72"/>
  <c r="T54" i="72" s="1"/>
  <c r="BX18" i="72"/>
  <c r="BX54" i="72" s="1"/>
  <c r="I18" i="72"/>
  <c r="I54" i="72" s="1"/>
  <c r="Q18" i="72"/>
  <c r="Q54" i="72" s="1"/>
  <c r="Y18" i="72"/>
  <c r="Y54" i="72" s="1"/>
  <c r="AG18" i="72"/>
  <c r="AG54" i="72" s="1"/>
  <c r="AO18" i="72"/>
  <c r="AO54" i="72" s="1"/>
  <c r="AW18" i="72"/>
  <c r="AW54" i="72" s="1"/>
  <c r="BE18" i="72"/>
  <c r="BE54" i="72" s="1"/>
  <c r="BM18" i="72"/>
  <c r="BM54" i="72" s="1"/>
  <c r="BU18" i="72"/>
  <c r="BU54" i="72" s="1"/>
  <c r="CC18" i="72"/>
  <c r="CC54" i="72" s="1"/>
  <c r="CK18" i="72"/>
  <c r="CK54" i="72" s="1"/>
  <c r="AR18" i="72"/>
  <c r="AR54" i="72" s="1"/>
  <c r="BH18" i="72"/>
  <c r="BH54" i="72" s="1"/>
  <c r="J18" i="72"/>
  <c r="J54" i="72" s="1"/>
  <c r="R18" i="72"/>
  <c r="R54" i="72" s="1"/>
  <c r="Z18" i="72"/>
  <c r="Z54" i="72" s="1"/>
  <c r="AH18" i="72"/>
  <c r="AH54" i="72" s="1"/>
  <c r="AP18" i="72"/>
  <c r="AP54" i="72" s="1"/>
  <c r="AX18" i="72"/>
  <c r="AX54" i="72" s="1"/>
  <c r="BF18" i="72"/>
  <c r="BF54" i="72" s="1"/>
  <c r="BN18" i="72"/>
  <c r="BN54" i="72" s="1"/>
  <c r="BV18" i="72"/>
  <c r="BV54" i="72" s="1"/>
  <c r="CD18" i="72"/>
  <c r="CD54" i="72" s="1"/>
  <c r="CL18" i="72"/>
  <c r="CL54" i="72" s="1"/>
  <c r="AJ18" i="72"/>
  <c r="AJ54" i="72" s="1"/>
  <c r="K18" i="72"/>
  <c r="K54" i="72" s="1"/>
  <c r="S18" i="72"/>
  <c r="S54" i="72" s="1"/>
  <c r="AA18" i="72"/>
  <c r="AA54" i="72" s="1"/>
  <c r="AI18" i="72"/>
  <c r="AI54" i="72" s="1"/>
  <c r="AQ18" i="72"/>
  <c r="AQ54" i="72" s="1"/>
  <c r="AY18" i="72"/>
  <c r="AY54" i="72" s="1"/>
  <c r="BG18" i="72"/>
  <c r="BG54" i="72" s="1"/>
  <c r="BO18" i="72"/>
  <c r="BO54" i="72" s="1"/>
  <c r="BW18" i="72"/>
  <c r="BW54" i="72" s="1"/>
  <c r="CE18" i="72"/>
  <c r="CE54" i="72" s="1"/>
  <c r="AB18" i="72"/>
  <c r="AB54" i="72" s="1"/>
  <c r="G18" i="72"/>
  <c r="H14" i="47"/>
  <c r="H13" i="47"/>
  <c r="H17" i="47"/>
  <c r="E9" i="51"/>
  <c r="G66" i="72" l="1"/>
  <c r="CM17" i="72"/>
  <c r="F21" i="82"/>
  <c r="F14" i="82"/>
  <c r="CM54" i="72"/>
  <c r="CM18" i="72"/>
  <c r="B21" i="82"/>
  <c r="B14" i="82"/>
  <c r="E21" i="82"/>
  <c r="H11" i="80"/>
  <c r="H48" i="80" s="1"/>
  <c r="E39" i="100"/>
  <c r="E98" i="100" s="1"/>
  <c r="AT68" i="72"/>
  <c r="BY68" i="72"/>
  <c r="M68" i="72"/>
  <c r="AZ68" i="72"/>
  <c r="CE68" i="72"/>
  <c r="S68" i="72"/>
  <c r="AX68" i="72"/>
  <c r="CC68" i="72"/>
  <c r="Q68" i="72"/>
  <c r="BD68" i="72"/>
  <c r="AL68" i="72"/>
  <c r="BQ68" i="72"/>
  <c r="CA68" i="72"/>
  <c r="AR68" i="72"/>
  <c r="BW68" i="72"/>
  <c r="K68" i="72"/>
  <c r="AP68" i="72"/>
  <c r="BU68" i="72"/>
  <c r="I68" i="72"/>
  <c r="AV68" i="72"/>
  <c r="BC68" i="72"/>
  <c r="AD68" i="72"/>
  <c r="BI68" i="72"/>
  <c r="AE68" i="72"/>
  <c r="AJ68" i="72"/>
  <c r="BO68" i="72"/>
  <c r="BS68" i="72"/>
  <c r="AH68" i="72"/>
  <c r="BM68" i="72"/>
  <c r="BK68" i="72"/>
  <c r="AN68" i="72"/>
  <c r="CH68" i="72"/>
  <c r="V68" i="72"/>
  <c r="BA68" i="72"/>
  <c r="CM66" i="72"/>
  <c r="E18" i="51" s="1"/>
  <c r="E19" i="51" s="1"/>
  <c r="G67" i="72"/>
  <c r="AB68" i="72"/>
  <c r="BG68" i="72"/>
  <c r="CL68" i="72"/>
  <c r="Z68" i="72"/>
  <c r="BE68" i="72"/>
  <c r="AM68" i="72"/>
  <c r="AF68" i="72"/>
  <c r="BZ68" i="72"/>
  <c r="N68" i="72"/>
  <c r="AS68" i="72"/>
  <c r="CF68" i="72"/>
  <c r="T68" i="72"/>
  <c r="AY68" i="72"/>
  <c r="CD68" i="72"/>
  <c r="R68" i="72"/>
  <c r="AW68" i="72"/>
  <c r="CJ68" i="72"/>
  <c r="X68" i="72"/>
  <c r="BR68" i="72"/>
  <c r="CI68" i="72"/>
  <c r="AK68" i="72"/>
  <c r="BX68" i="72"/>
  <c r="L68" i="72"/>
  <c r="AQ68" i="72"/>
  <c r="BV68" i="72"/>
  <c r="J68" i="72"/>
  <c r="AO68" i="72"/>
  <c r="CB68" i="72"/>
  <c r="P68" i="72"/>
  <c r="BJ68" i="72"/>
  <c r="O68" i="72"/>
  <c r="AC68" i="72"/>
  <c r="BP68" i="72"/>
  <c r="AU68" i="72"/>
  <c r="AI68" i="72"/>
  <c r="BN68" i="72"/>
  <c r="W68" i="72"/>
  <c r="AG68" i="72"/>
  <c r="BT68" i="72"/>
  <c r="H68" i="72"/>
  <c r="BB68" i="72"/>
  <c r="CG68" i="72"/>
  <c r="U68" i="72"/>
  <c r="BH68" i="72"/>
  <c r="AA68" i="72"/>
  <c r="BF68" i="72"/>
  <c r="CK68" i="72"/>
  <c r="Y68" i="72"/>
  <c r="BL68" i="72"/>
  <c r="H10" i="80"/>
  <c r="H11" i="66"/>
  <c r="F9" i="51"/>
  <c r="I11" i="80" s="1"/>
  <c r="E5" i="51"/>
  <c r="E120" i="100" s="1"/>
  <c r="G68" i="72" l="1"/>
  <c r="CM68" i="72" s="1"/>
  <c r="CM67" i="72"/>
  <c r="B85" i="86"/>
  <c r="B72" i="86"/>
  <c r="B42" i="86"/>
  <c r="B58" i="86"/>
  <c r="H16" i="105"/>
  <c r="H15" i="105" s="1"/>
  <c r="E18" i="100"/>
  <c r="E17" i="100" s="1"/>
  <c r="E58" i="100"/>
  <c r="E57" i="100" s="1"/>
  <c r="E60" i="100" s="1"/>
  <c r="E78" i="100"/>
  <c r="BH69" i="72"/>
  <c r="BH70" i="72"/>
  <c r="BN69" i="72"/>
  <c r="BN70" i="72"/>
  <c r="CB69" i="72"/>
  <c r="CB70" i="72"/>
  <c r="CI69" i="72"/>
  <c r="CI70" i="72"/>
  <c r="T70" i="72"/>
  <c r="T69" i="72"/>
  <c r="Z69" i="72"/>
  <c r="Z70" i="72"/>
  <c r="CH70" i="72"/>
  <c r="CH69" i="72"/>
  <c r="AE69" i="72"/>
  <c r="AE70" i="72"/>
  <c r="K69" i="72"/>
  <c r="K70" i="72"/>
  <c r="CC69" i="72"/>
  <c r="CC70" i="72"/>
  <c r="U69" i="72"/>
  <c r="U70" i="72"/>
  <c r="AI69" i="72"/>
  <c r="AI70" i="72"/>
  <c r="AO69" i="72"/>
  <c r="AO70" i="72"/>
  <c r="BR69" i="72"/>
  <c r="BR70" i="72"/>
  <c r="CF69" i="72"/>
  <c r="CF70" i="72"/>
  <c r="CL69" i="72"/>
  <c r="CL70" i="72"/>
  <c r="AN69" i="72"/>
  <c r="AN70" i="72"/>
  <c r="BI69" i="72"/>
  <c r="BI70" i="72"/>
  <c r="BW69" i="72"/>
  <c r="BW70" i="72"/>
  <c r="AX70" i="72"/>
  <c r="AX69" i="72"/>
  <c r="Y69" i="72"/>
  <c r="Y70" i="72"/>
  <c r="CK69" i="72"/>
  <c r="CK70" i="72"/>
  <c r="CG69" i="72"/>
  <c r="CG70" i="72"/>
  <c r="AU70" i="72"/>
  <c r="AU69" i="72"/>
  <c r="J69" i="72"/>
  <c r="J70" i="72"/>
  <c r="X69" i="72"/>
  <c r="X70" i="72"/>
  <c r="AS69" i="72"/>
  <c r="AS70" i="72"/>
  <c r="BG69" i="72"/>
  <c r="BG70" i="72"/>
  <c r="BK69" i="72"/>
  <c r="BK70" i="72"/>
  <c r="AD69" i="72"/>
  <c r="AD70" i="72"/>
  <c r="AR69" i="72"/>
  <c r="AR70" i="72"/>
  <c r="S69" i="72"/>
  <c r="S70" i="72"/>
  <c r="BF69" i="72"/>
  <c r="BF70" i="72"/>
  <c r="BB69" i="72"/>
  <c r="BB70" i="72"/>
  <c r="BP70" i="72"/>
  <c r="BP69" i="72"/>
  <c r="BV70" i="72"/>
  <c r="BV69" i="72"/>
  <c r="CJ70" i="72"/>
  <c r="CJ69" i="72"/>
  <c r="N69" i="72"/>
  <c r="N70" i="72"/>
  <c r="AB69" i="72"/>
  <c r="AB70" i="72"/>
  <c r="BM69" i="72"/>
  <c r="BM70" i="72"/>
  <c r="BC70" i="72"/>
  <c r="BC69" i="72"/>
  <c r="CA69" i="72"/>
  <c r="CA70" i="72"/>
  <c r="CE70" i="72"/>
  <c r="CE69" i="72"/>
  <c r="AA69" i="72"/>
  <c r="AA70" i="72"/>
  <c r="H69" i="72"/>
  <c r="H70" i="72"/>
  <c r="AC69" i="72"/>
  <c r="AC70" i="72"/>
  <c r="AQ69" i="72"/>
  <c r="AQ70" i="72"/>
  <c r="AW69" i="72"/>
  <c r="AW70" i="72"/>
  <c r="BZ69" i="72"/>
  <c r="BZ70" i="72"/>
  <c r="AH69" i="72"/>
  <c r="AH70" i="72"/>
  <c r="AV70" i="72"/>
  <c r="AV69" i="72"/>
  <c r="BQ69" i="72"/>
  <c r="BQ70" i="72"/>
  <c r="AZ69" i="72"/>
  <c r="AZ70" i="72"/>
  <c r="BL69" i="72"/>
  <c r="BL70" i="72"/>
  <c r="BT70" i="72"/>
  <c r="BT69" i="72"/>
  <c r="O69" i="72"/>
  <c r="O70" i="72"/>
  <c r="L69" i="72"/>
  <c r="L70" i="72"/>
  <c r="R69" i="72"/>
  <c r="R70" i="72"/>
  <c r="AF69" i="72"/>
  <c r="AF70" i="72"/>
  <c r="BS69" i="72"/>
  <c r="BS70" i="72"/>
  <c r="I69" i="72"/>
  <c r="I70" i="72"/>
  <c r="AL69" i="72"/>
  <c r="AL70" i="72"/>
  <c r="M69" i="72"/>
  <c r="M70" i="72"/>
  <c r="AG69" i="72"/>
  <c r="AG70" i="72"/>
  <c r="BJ70" i="72"/>
  <c r="BJ69" i="72"/>
  <c r="BX70" i="72"/>
  <c r="BX69" i="72"/>
  <c r="CD70" i="72"/>
  <c r="CD69" i="72"/>
  <c r="AM69" i="72"/>
  <c r="AM70" i="72"/>
  <c r="BA69" i="72"/>
  <c r="BA70" i="72"/>
  <c r="BO69" i="72"/>
  <c r="BO70" i="72"/>
  <c r="BU69" i="72"/>
  <c r="BU70" i="72"/>
  <c r="BD69" i="72"/>
  <c r="BD70" i="72"/>
  <c r="BY70" i="72"/>
  <c r="BY69" i="72"/>
  <c r="W69" i="72"/>
  <c r="W70" i="72"/>
  <c r="P69" i="72"/>
  <c r="P70" i="72"/>
  <c r="AK69" i="72"/>
  <c r="AK70" i="72"/>
  <c r="AY70" i="72"/>
  <c r="AY69" i="72"/>
  <c r="BE70" i="72"/>
  <c r="BE69" i="72"/>
  <c r="V69" i="72"/>
  <c r="V70" i="72"/>
  <c r="AJ69" i="72"/>
  <c r="AJ70" i="72"/>
  <c r="AP69" i="72"/>
  <c r="AP70" i="72"/>
  <c r="Q69" i="72"/>
  <c r="Q70" i="72"/>
  <c r="AT69" i="72"/>
  <c r="AT70" i="72"/>
  <c r="H14" i="77"/>
  <c r="I48" i="80"/>
  <c r="I10" i="80"/>
  <c r="H11" i="39"/>
  <c r="B5" i="56" s="1"/>
  <c r="F5" i="51"/>
  <c r="I16" i="105" s="1"/>
  <c r="I15" i="105" s="1"/>
  <c r="G9" i="51"/>
  <c r="J11" i="80" s="1"/>
  <c r="I11" i="66"/>
  <c r="H50" i="66"/>
  <c r="H10" i="66"/>
  <c r="G70" i="72" l="1"/>
  <c r="G69" i="72"/>
  <c r="B44" i="86"/>
  <c r="B45" i="86"/>
  <c r="B46" i="86" s="1"/>
  <c r="B74" i="86"/>
  <c r="B75" i="86" s="1"/>
  <c r="B60" i="86"/>
  <c r="B61" i="86" s="1"/>
  <c r="B47" i="86"/>
  <c r="B86" i="86"/>
  <c r="B87" i="86" s="1"/>
  <c r="A89" i="86" s="1"/>
  <c r="I54" i="105"/>
  <c r="H54" i="105"/>
  <c r="I14" i="77"/>
  <c r="I52" i="77" s="1"/>
  <c r="I11" i="94"/>
  <c r="I10" i="94" s="1"/>
  <c r="CM70" i="72"/>
  <c r="D5" i="79" s="1"/>
  <c r="D4" i="79" s="1"/>
  <c r="CM69" i="72"/>
  <c r="B2" i="86" s="1"/>
  <c r="H52" i="77"/>
  <c r="J18" i="80"/>
  <c r="Z18" i="80"/>
  <c r="W18" i="80"/>
  <c r="T18" i="80"/>
  <c r="Q18" i="80"/>
  <c r="N18" i="80"/>
  <c r="K18" i="80"/>
  <c r="H18" i="80"/>
  <c r="X18" i="80"/>
  <c r="U18" i="80"/>
  <c r="R18" i="80"/>
  <c r="O18" i="80"/>
  <c r="L18" i="80"/>
  <c r="I18" i="80"/>
  <c r="Y18" i="80"/>
  <c r="V18" i="80"/>
  <c r="S18" i="80"/>
  <c r="P18" i="80"/>
  <c r="M18" i="80"/>
  <c r="J48" i="80"/>
  <c r="J10" i="80"/>
  <c r="G5" i="51"/>
  <c r="J16" i="105" s="1"/>
  <c r="J15" i="105" s="1"/>
  <c r="I11" i="39"/>
  <c r="H9" i="51"/>
  <c r="K11" i="80" s="1"/>
  <c r="J11" i="66"/>
  <c r="I50" i="66"/>
  <c r="I10" i="66"/>
  <c r="H10" i="39"/>
  <c r="H48" i="39" s="1"/>
  <c r="E13" i="17"/>
  <c r="D3" i="79" l="1"/>
  <c r="D17" i="79" s="1"/>
  <c r="D15" i="79" s="1"/>
  <c r="E4" i="79"/>
  <c r="H14" i="78"/>
  <c r="N17" i="77"/>
  <c r="Z17" i="77"/>
  <c r="K17" i="77"/>
  <c r="L17" i="77"/>
  <c r="Q17" i="77"/>
  <c r="R17" i="77"/>
  <c r="H17" i="77"/>
  <c r="H13" i="77" s="1"/>
  <c r="X17" i="77"/>
  <c r="I17" i="77"/>
  <c r="Y17" i="77"/>
  <c r="P17" i="77"/>
  <c r="W17" i="77"/>
  <c r="V17" i="77"/>
  <c r="T17" i="77"/>
  <c r="J17" i="77"/>
  <c r="U17" i="77"/>
  <c r="O17" i="77"/>
  <c r="S17" i="77"/>
  <c r="M17" i="77"/>
  <c r="D28" i="98"/>
  <c r="A77" i="86"/>
  <c r="D25" i="98"/>
  <c r="A63" i="86"/>
  <c r="D22" i="98"/>
  <c r="A49" i="86"/>
  <c r="I13" i="77"/>
  <c r="D31" i="98"/>
  <c r="B3" i="86"/>
  <c r="B26" i="86" s="1"/>
  <c r="B25" i="86" s="1"/>
  <c r="B33" i="86" s="1"/>
  <c r="C25" i="100"/>
  <c r="E25" i="100" s="1"/>
  <c r="E24" i="100" s="1"/>
  <c r="C4" i="100"/>
  <c r="J54" i="105"/>
  <c r="C5" i="95"/>
  <c r="B5" i="95"/>
  <c r="B5" i="102"/>
  <c r="B5" i="101"/>
  <c r="B5" i="103"/>
  <c r="J14" i="77"/>
  <c r="J13" i="77" s="1"/>
  <c r="J11" i="94"/>
  <c r="J10" i="94" s="1"/>
  <c r="I48" i="94"/>
  <c r="K48" i="80"/>
  <c r="K10" i="80"/>
  <c r="H5" i="51"/>
  <c r="K16" i="105" s="1"/>
  <c r="K15" i="105" s="1"/>
  <c r="J11" i="39"/>
  <c r="E4" i="9"/>
  <c r="J50" i="66"/>
  <c r="J10" i="66"/>
  <c r="I9" i="51"/>
  <c r="L11" i="80" s="1"/>
  <c r="K11" i="66"/>
  <c r="C5" i="56"/>
  <c r="I10" i="39"/>
  <c r="I48" i="39" s="1"/>
  <c r="I27" i="39"/>
  <c r="J27" i="39" s="1"/>
  <c r="K27" i="39" s="1"/>
  <c r="L27" i="39" s="1"/>
  <c r="M27" i="39" s="1"/>
  <c r="N27" i="39" s="1"/>
  <c r="O27" i="39" s="1"/>
  <c r="P27" i="39" s="1"/>
  <c r="Q27" i="39" s="1"/>
  <c r="R27" i="39" s="1"/>
  <c r="S27" i="39" s="1"/>
  <c r="T27" i="39" s="1"/>
  <c r="U27" i="39" s="1"/>
  <c r="V27" i="39" s="1"/>
  <c r="W27" i="39" s="1"/>
  <c r="X27" i="39" s="1"/>
  <c r="Y27" i="39" s="1"/>
  <c r="Z27" i="39" s="1"/>
  <c r="F4" i="79" l="1"/>
  <c r="I14" i="78"/>
  <c r="D18" i="79"/>
  <c r="V18" i="78"/>
  <c r="P18" i="78"/>
  <c r="Z18" i="78"/>
  <c r="T18" i="78"/>
  <c r="O18" i="78"/>
  <c r="W18" i="78"/>
  <c r="I18" i="78"/>
  <c r="S18" i="78"/>
  <c r="X18" i="78"/>
  <c r="AA18" i="78"/>
  <c r="H18" i="78"/>
  <c r="H19" i="78" s="1"/>
  <c r="K18" i="78"/>
  <c r="Y18" i="78"/>
  <c r="Q18" i="78"/>
  <c r="U18" i="78"/>
  <c r="M18" i="78"/>
  <c r="N18" i="78"/>
  <c r="L18" i="78"/>
  <c r="J18" i="78"/>
  <c r="R18" i="78"/>
  <c r="C5" i="102"/>
  <c r="C5" i="103"/>
  <c r="C5" i="101"/>
  <c r="K54" i="105"/>
  <c r="D5" i="101"/>
  <c r="D5" i="103"/>
  <c r="D5" i="102"/>
  <c r="F24" i="100"/>
  <c r="G24" i="100" s="1"/>
  <c r="H24" i="100" s="1"/>
  <c r="I24" i="100" s="1"/>
  <c r="J24" i="100" s="1"/>
  <c r="K24" i="100" s="1"/>
  <c r="L24" i="100" s="1"/>
  <c r="M24" i="100" s="1"/>
  <c r="N24" i="100" s="1"/>
  <c r="O24" i="100" s="1"/>
  <c r="P24" i="100" s="1"/>
  <c r="Q24" i="100" s="1"/>
  <c r="R24" i="100" s="1"/>
  <c r="S24" i="100" s="1"/>
  <c r="T24" i="100" s="1"/>
  <c r="U24" i="100" s="1"/>
  <c r="V24" i="100" s="1"/>
  <c r="W24" i="100" s="1"/>
  <c r="X24" i="100" s="1"/>
  <c r="E23" i="100"/>
  <c r="E40" i="100" s="1"/>
  <c r="E38" i="100" s="1"/>
  <c r="E41" i="100" s="1"/>
  <c r="C65" i="100"/>
  <c r="E9" i="98" s="1"/>
  <c r="E4" i="100"/>
  <c r="E3" i="100" s="1"/>
  <c r="D5" i="95"/>
  <c r="J48" i="94"/>
  <c r="K14" i="77"/>
  <c r="K11" i="94"/>
  <c r="K10" i="94" s="1"/>
  <c r="H15" i="66"/>
  <c r="J52" i="77"/>
  <c r="B16" i="86"/>
  <c r="B15" i="86" s="1"/>
  <c r="B23" i="86" s="1"/>
  <c r="B6" i="86"/>
  <c r="B5" i="86" s="1"/>
  <c r="B13" i="86" s="1"/>
  <c r="L48" i="80"/>
  <c r="L10" i="80"/>
  <c r="K50" i="66"/>
  <c r="K10" i="66"/>
  <c r="E3" i="57" s="1"/>
  <c r="C3" i="74" s="1"/>
  <c r="J9" i="51"/>
  <c r="M11" i="80" s="1"/>
  <c r="L11" i="66"/>
  <c r="D5" i="56"/>
  <c r="J10" i="39"/>
  <c r="I5" i="51"/>
  <c r="L16" i="105" s="1"/>
  <c r="L15" i="105" s="1"/>
  <c r="K11" i="39"/>
  <c r="E12" i="17"/>
  <c r="H58" i="105" l="1"/>
  <c r="H21" i="78"/>
  <c r="H56" i="77"/>
  <c r="K52" i="77"/>
  <c r="K13" i="77"/>
  <c r="C5" i="96" s="1"/>
  <c r="I19" i="78"/>
  <c r="G4" i="79"/>
  <c r="J14" i="78"/>
  <c r="L54" i="105"/>
  <c r="J48" i="39"/>
  <c r="F3" i="100"/>
  <c r="G3" i="100" s="1"/>
  <c r="H3" i="100" s="1"/>
  <c r="I3" i="100" s="1"/>
  <c r="J3" i="100" s="1"/>
  <c r="K3" i="100" s="1"/>
  <c r="L3" i="100" s="1"/>
  <c r="M3" i="100" s="1"/>
  <c r="N3" i="100" s="1"/>
  <c r="O3" i="100" s="1"/>
  <c r="P3" i="100" s="1"/>
  <c r="Q3" i="100" s="1"/>
  <c r="R3" i="100" s="1"/>
  <c r="S3" i="100" s="1"/>
  <c r="T3" i="100" s="1"/>
  <c r="U3" i="100" s="1"/>
  <c r="V3" i="100" s="1"/>
  <c r="W3" i="100" s="1"/>
  <c r="X3" i="100" s="1"/>
  <c r="E65" i="100"/>
  <c r="E64" i="100" s="1"/>
  <c r="H22" i="105" s="1"/>
  <c r="K48" i="94"/>
  <c r="H14" i="39"/>
  <c r="L14" i="77"/>
  <c r="L13" i="77" s="1"/>
  <c r="L11" i="94"/>
  <c r="L10" i="94" s="1"/>
  <c r="I15" i="66"/>
  <c r="E5" i="92"/>
  <c r="G5" i="92"/>
  <c r="M48" i="80"/>
  <c r="M10" i="80"/>
  <c r="C5" i="81"/>
  <c r="G5" i="81"/>
  <c r="E5" i="81"/>
  <c r="E5" i="56"/>
  <c r="K10" i="39"/>
  <c r="L50" i="66"/>
  <c r="L10" i="66"/>
  <c r="J5" i="51"/>
  <c r="M16" i="105" s="1"/>
  <c r="M15" i="105" s="1"/>
  <c r="L11" i="39"/>
  <c r="K9" i="51"/>
  <c r="N11" i="80" s="1"/>
  <c r="M11" i="66"/>
  <c r="G3" i="74"/>
  <c r="E3" i="74"/>
  <c r="F3" i="74"/>
  <c r="H3" i="74"/>
  <c r="E8" i="17"/>
  <c r="I58" i="105" l="1"/>
  <c r="I21" i="78"/>
  <c r="I56" i="77"/>
  <c r="J19" i="78"/>
  <c r="G14" i="78" s="1"/>
  <c r="H4" i="79"/>
  <c r="K14" i="78"/>
  <c r="K19" i="78" s="1"/>
  <c r="H24" i="78"/>
  <c r="H22" i="78"/>
  <c r="E5" i="103"/>
  <c r="E5" i="95"/>
  <c r="E5" i="101"/>
  <c r="E5" i="102"/>
  <c r="M54" i="105"/>
  <c r="L52" i="77"/>
  <c r="H20" i="77"/>
  <c r="B7" i="103" s="1"/>
  <c r="F5" i="95"/>
  <c r="F5" i="103"/>
  <c r="F5" i="102"/>
  <c r="F5" i="101"/>
  <c r="F64" i="100"/>
  <c r="B7" i="56"/>
  <c r="B7" i="91"/>
  <c r="I14" i="94"/>
  <c r="I14" i="39"/>
  <c r="C7" i="56" s="1"/>
  <c r="M14" i="77"/>
  <c r="M11" i="94"/>
  <c r="M10" i="94" s="1"/>
  <c r="J15" i="66"/>
  <c r="E5" i="57" s="1"/>
  <c r="C5" i="74" s="1"/>
  <c r="L48" i="94"/>
  <c r="D5" i="96"/>
  <c r="G5" i="96"/>
  <c r="E5" i="96"/>
  <c r="F5" i="96"/>
  <c r="N48" i="80"/>
  <c r="N10" i="80"/>
  <c r="F5" i="81"/>
  <c r="D5" i="81"/>
  <c r="M50" i="66"/>
  <c r="M10" i="66"/>
  <c r="L9" i="51"/>
  <c r="O11" i="80" s="1"/>
  <c r="N11" i="66"/>
  <c r="F5" i="56"/>
  <c r="L10" i="39"/>
  <c r="L48" i="39" s="1"/>
  <c r="K48" i="39"/>
  <c r="B3" i="57"/>
  <c r="C3" i="67" s="1"/>
  <c r="K5" i="51"/>
  <c r="N16" i="105" s="1"/>
  <c r="N15" i="105" s="1"/>
  <c r="M11" i="39"/>
  <c r="D7" i="12"/>
  <c r="D6" i="12"/>
  <c r="D5" i="12"/>
  <c r="D4" i="12"/>
  <c r="D3" i="12"/>
  <c r="D2" i="12"/>
  <c r="I22" i="105" l="1"/>
  <c r="I20" i="77"/>
  <c r="I4" i="79"/>
  <c r="L14" i="78"/>
  <c r="L19" i="78" s="1"/>
  <c r="M52" i="77"/>
  <c r="M13" i="77"/>
  <c r="I24" i="78"/>
  <c r="I22" i="78"/>
  <c r="K58" i="105"/>
  <c r="K21" i="78"/>
  <c r="K56" i="77"/>
  <c r="J56" i="77"/>
  <c r="G16" i="78"/>
  <c r="J58" i="105"/>
  <c r="G15" i="78"/>
  <c r="G17" i="78"/>
  <c r="J21" i="78"/>
  <c r="G18" i="78"/>
  <c r="H29" i="78"/>
  <c r="H28" i="78"/>
  <c r="H27" i="78"/>
  <c r="B7" i="95"/>
  <c r="B7" i="102"/>
  <c r="G5" i="95"/>
  <c r="N54" i="105"/>
  <c r="B7" i="101"/>
  <c r="G64" i="100"/>
  <c r="J20" i="77" s="1"/>
  <c r="J14" i="94"/>
  <c r="J14" i="39"/>
  <c r="D7" i="56" s="1"/>
  <c r="N14" i="77"/>
  <c r="N13" i="77" s="1"/>
  <c r="N11" i="94"/>
  <c r="N10" i="94" s="1"/>
  <c r="K15" i="66"/>
  <c r="E5" i="74"/>
  <c r="F5" i="74" s="1"/>
  <c r="G5" i="74"/>
  <c r="H5" i="74"/>
  <c r="M48" i="94"/>
  <c r="O48" i="80"/>
  <c r="O10" i="80"/>
  <c r="L5" i="51"/>
  <c r="O16" i="105" s="1"/>
  <c r="O15" i="105" s="1"/>
  <c r="N11" i="39"/>
  <c r="N50" i="66"/>
  <c r="N10" i="66"/>
  <c r="G5" i="56"/>
  <c r="M10" i="39"/>
  <c r="M48" i="39" s="1"/>
  <c r="M9" i="51"/>
  <c r="P11" i="80" s="1"/>
  <c r="O11" i="66"/>
  <c r="D8" i="12"/>
  <c r="J24" i="78" l="1"/>
  <c r="J22" i="78"/>
  <c r="I27" i="78"/>
  <c r="I28" i="78"/>
  <c r="K24" i="78"/>
  <c r="K22" i="78"/>
  <c r="D7" i="95"/>
  <c r="J22" i="105"/>
  <c r="L58" i="105"/>
  <c r="L21" i="78"/>
  <c r="L56" i="77"/>
  <c r="H37" i="78"/>
  <c r="H39" i="78" s="1"/>
  <c r="I29" i="78"/>
  <c r="H38" i="78"/>
  <c r="H40" i="78" s="1"/>
  <c r="J4" i="79"/>
  <c r="M14" i="78"/>
  <c r="M19" i="78" s="1"/>
  <c r="G5" i="101"/>
  <c r="G5" i="103"/>
  <c r="G5" i="102"/>
  <c r="E70" i="100"/>
  <c r="E112" i="100" s="1"/>
  <c r="E10" i="100"/>
  <c r="E9" i="100" s="1"/>
  <c r="O54" i="105"/>
  <c r="N52" i="77"/>
  <c r="H64" i="100"/>
  <c r="H5" i="95"/>
  <c r="H5" i="103"/>
  <c r="H5" i="102"/>
  <c r="H5" i="101"/>
  <c r="C7" i="102"/>
  <c r="C7" i="103"/>
  <c r="C7" i="101"/>
  <c r="C7" i="95"/>
  <c r="K14" i="94"/>
  <c r="K14" i="39"/>
  <c r="O14" i="77"/>
  <c r="O13" i="77" s="1"/>
  <c r="O11" i="94"/>
  <c r="O10" i="94" s="1"/>
  <c r="L15" i="66"/>
  <c r="N48" i="94"/>
  <c r="P48" i="80"/>
  <c r="P10" i="80"/>
  <c r="O50" i="66"/>
  <c r="O10" i="66"/>
  <c r="N9" i="51"/>
  <c r="Q11" i="80" s="1"/>
  <c r="P11" i="66"/>
  <c r="H5" i="56"/>
  <c r="N10" i="39"/>
  <c r="N48" i="39" s="1"/>
  <c r="M5" i="51"/>
  <c r="P16" i="105" s="1"/>
  <c r="P15" i="105" s="1"/>
  <c r="O11" i="39"/>
  <c r="K19" i="17"/>
  <c r="E22" i="17" s="1"/>
  <c r="K22" i="105" l="1"/>
  <c r="K20" i="77"/>
  <c r="K4" i="79"/>
  <c r="N14" i="78"/>
  <c r="N19" i="78" s="1"/>
  <c r="K27" i="78"/>
  <c r="K28" i="78"/>
  <c r="D7" i="101"/>
  <c r="J29" i="78"/>
  <c r="I38" i="78"/>
  <c r="I40" i="78" s="1"/>
  <c r="I37" i="78"/>
  <c r="I39" i="78" s="1"/>
  <c r="D7" i="102"/>
  <c r="D7" i="103"/>
  <c r="L22" i="78"/>
  <c r="L24" i="78"/>
  <c r="M58" i="105"/>
  <c r="M21" i="78"/>
  <c r="M56" i="77"/>
  <c r="J28" i="78"/>
  <c r="J27" i="78"/>
  <c r="Q20" i="17"/>
  <c r="Q21" i="17" s="1"/>
  <c r="Q22" i="17" s="1"/>
  <c r="Q23" i="17" s="1"/>
  <c r="B12" i="99"/>
  <c r="E90" i="100"/>
  <c r="E89" i="100" s="1"/>
  <c r="E69" i="100"/>
  <c r="O52" i="77"/>
  <c r="P54" i="105"/>
  <c r="I64" i="100"/>
  <c r="E7" i="102"/>
  <c r="E7" i="101"/>
  <c r="E7" i="103"/>
  <c r="I5" i="95"/>
  <c r="I5" i="102"/>
  <c r="I5" i="101"/>
  <c r="I5" i="103"/>
  <c r="H16" i="94"/>
  <c r="C9" i="92" s="1"/>
  <c r="M15" i="66"/>
  <c r="C7" i="96"/>
  <c r="E7" i="95"/>
  <c r="O48" i="94"/>
  <c r="P14" i="77"/>
  <c r="P11" i="94"/>
  <c r="P10" i="94" s="1"/>
  <c r="L14" i="94"/>
  <c r="L14" i="39"/>
  <c r="F7" i="56" s="1"/>
  <c r="G7" i="92"/>
  <c r="B5" i="57"/>
  <c r="C5" i="67" s="1"/>
  <c r="C7" i="81"/>
  <c r="E7" i="56"/>
  <c r="G7" i="81"/>
  <c r="D7" i="81"/>
  <c r="K20" i="17"/>
  <c r="H22" i="77"/>
  <c r="Q48" i="80"/>
  <c r="Q10" i="80"/>
  <c r="I5" i="56"/>
  <c r="O10" i="39"/>
  <c r="O48" i="39" s="1"/>
  <c r="P50" i="66"/>
  <c r="P10" i="66"/>
  <c r="N5" i="51"/>
  <c r="Q16" i="105" s="1"/>
  <c r="Q15" i="105" s="1"/>
  <c r="P11" i="39"/>
  <c r="O9" i="51"/>
  <c r="R11" i="80" s="1"/>
  <c r="Q11" i="66"/>
  <c r="F4" i="9"/>
  <c r="L22" i="105" l="1"/>
  <c r="L20" i="77"/>
  <c r="P52" i="77"/>
  <c r="P13" i="77"/>
  <c r="M24" i="105"/>
  <c r="R24" i="105"/>
  <c r="S24" i="105"/>
  <c r="X24" i="105"/>
  <c r="W24" i="105"/>
  <c r="P24" i="105"/>
  <c r="K24" i="105"/>
  <c r="L24" i="105"/>
  <c r="Y24" i="105"/>
  <c r="Q24" i="105"/>
  <c r="Z24" i="105"/>
  <c r="I24" i="105"/>
  <c r="V24" i="105"/>
  <c r="O24" i="105"/>
  <c r="N24" i="105"/>
  <c r="J24" i="105"/>
  <c r="T24" i="105"/>
  <c r="U24" i="105"/>
  <c r="H24" i="105"/>
  <c r="E111" i="100"/>
  <c r="M24" i="78"/>
  <c r="M22" i="78"/>
  <c r="J37" i="78"/>
  <c r="J39" i="78" s="1"/>
  <c r="K29" i="78"/>
  <c r="J38" i="78"/>
  <c r="J40" i="78" s="1"/>
  <c r="L27" i="78"/>
  <c r="L28" i="78"/>
  <c r="N58" i="105"/>
  <c r="N21" i="78"/>
  <c r="N56" i="77"/>
  <c r="L4" i="79"/>
  <c r="O14" i="78"/>
  <c r="O19" i="78" s="1"/>
  <c r="Q54" i="105"/>
  <c r="F9" i="95"/>
  <c r="F9" i="101"/>
  <c r="F9" i="103"/>
  <c r="F9" i="102"/>
  <c r="B9" i="95"/>
  <c r="B9" i="102"/>
  <c r="B9" i="101"/>
  <c r="B9" i="103"/>
  <c r="G9" i="95"/>
  <c r="G9" i="103"/>
  <c r="G9" i="102"/>
  <c r="G9" i="101"/>
  <c r="E9" i="101"/>
  <c r="E9" i="103"/>
  <c r="E9" i="102"/>
  <c r="H9" i="95"/>
  <c r="H9" i="103"/>
  <c r="H9" i="102"/>
  <c r="H9" i="101"/>
  <c r="K9" i="95"/>
  <c r="K9" i="102"/>
  <c r="K9" i="101"/>
  <c r="K9" i="103"/>
  <c r="D9" i="95"/>
  <c r="D9" i="102"/>
  <c r="D9" i="101"/>
  <c r="D9" i="103"/>
  <c r="I9" i="95"/>
  <c r="I9" i="103"/>
  <c r="I9" i="102"/>
  <c r="I9" i="101"/>
  <c r="J9" i="95"/>
  <c r="J9" i="102"/>
  <c r="J9" i="101"/>
  <c r="J9" i="103"/>
  <c r="J64" i="100"/>
  <c r="M20" i="77" s="1"/>
  <c r="F7" i="101"/>
  <c r="J5" i="95"/>
  <c r="J5" i="102"/>
  <c r="J5" i="101"/>
  <c r="J5" i="103"/>
  <c r="E9" i="95"/>
  <c r="C9" i="96"/>
  <c r="M14" i="94"/>
  <c r="M14" i="39"/>
  <c r="G7" i="56" s="1"/>
  <c r="F7" i="96"/>
  <c r="D7" i="96"/>
  <c r="G7" i="96"/>
  <c r="E7" i="96"/>
  <c r="Q14" i="77"/>
  <c r="Q13" i="77" s="1"/>
  <c r="Q11" i="94"/>
  <c r="Q10" i="94" s="1"/>
  <c r="P48" i="94"/>
  <c r="N15" i="66"/>
  <c r="W16" i="94"/>
  <c r="O16" i="94"/>
  <c r="V16" i="94"/>
  <c r="N16" i="94"/>
  <c r="T16" i="94"/>
  <c r="L16" i="94"/>
  <c r="S16" i="94"/>
  <c r="K16" i="94"/>
  <c r="M16" i="94"/>
  <c r="Z16" i="94"/>
  <c r="R16" i="94"/>
  <c r="J16" i="94"/>
  <c r="U16" i="94"/>
  <c r="Y16" i="94"/>
  <c r="Q16" i="94"/>
  <c r="I16" i="94"/>
  <c r="X16" i="94"/>
  <c r="P16" i="94"/>
  <c r="E7" i="81"/>
  <c r="F7" i="81"/>
  <c r="E9" i="92"/>
  <c r="C7" i="93"/>
  <c r="F9" i="92"/>
  <c r="G9" i="92"/>
  <c r="D9" i="92"/>
  <c r="G5" i="67"/>
  <c r="E5" i="67"/>
  <c r="F5" i="67" s="1"/>
  <c r="H5" i="67"/>
  <c r="R48" i="80"/>
  <c r="R10" i="80"/>
  <c r="J19" i="66"/>
  <c r="N19" i="66"/>
  <c r="R19" i="66"/>
  <c r="V19" i="66"/>
  <c r="Z19" i="66"/>
  <c r="P19" i="66"/>
  <c r="X19" i="66"/>
  <c r="M19" i="66"/>
  <c r="U19" i="66"/>
  <c r="K19" i="66"/>
  <c r="E12" i="57" s="1"/>
  <c r="O19" i="66"/>
  <c r="S19" i="66"/>
  <c r="W19" i="66"/>
  <c r="H19" i="66"/>
  <c r="L19" i="66"/>
  <c r="T19" i="66"/>
  <c r="I19" i="66"/>
  <c r="Q19" i="66"/>
  <c r="Y19" i="66"/>
  <c r="Q50" i="66"/>
  <c r="Q10" i="66"/>
  <c r="P9" i="51"/>
  <c r="S11" i="80" s="1"/>
  <c r="R11" i="66"/>
  <c r="J5" i="56"/>
  <c r="P10" i="39"/>
  <c r="P48" i="39" s="1"/>
  <c r="O5" i="51"/>
  <c r="R16" i="105" s="1"/>
  <c r="R15" i="105" s="1"/>
  <c r="Q11" i="39"/>
  <c r="K16" i="39"/>
  <c r="O16" i="39"/>
  <c r="I9" i="56" s="1"/>
  <c r="S16" i="39"/>
  <c r="W16" i="39"/>
  <c r="H16" i="39"/>
  <c r="L16" i="39"/>
  <c r="F9" i="56" s="1"/>
  <c r="P16" i="39"/>
  <c r="J9" i="56" s="1"/>
  <c r="T16" i="39"/>
  <c r="X16" i="39"/>
  <c r="Q16" i="39"/>
  <c r="K9" i="56" s="1"/>
  <c r="I16" i="39"/>
  <c r="C9" i="56" s="1"/>
  <c r="M16" i="39"/>
  <c r="G9" i="56" s="1"/>
  <c r="U16" i="39"/>
  <c r="Y16" i="39"/>
  <c r="J16" i="39"/>
  <c r="D9" i="56" s="1"/>
  <c r="N16" i="39"/>
  <c r="H9" i="56" s="1"/>
  <c r="R16" i="39"/>
  <c r="V16" i="39"/>
  <c r="Z16" i="39"/>
  <c r="J17" i="66"/>
  <c r="N17" i="66"/>
  <c r="R17" i="66"/>
  <c r="V17" i="66"/>
  <c r="Z17" i="66"/>
  <c r="K17" i="66"/>
  <c r="E7" i="57" s="1"/>
  <c r="C7" i="74" s="1"/>
  <c r="E7" i="74" s="1"/>
  <c r="F7" i="74" s="1"/>
  <c r="G7" i="74" s="1"/>
  <c r="H7" i="74" s="1"/>
  <c r="O17" i="66"/>
  <c r="S17" i="66"/>
  <c r="W17" i="66"/>
  <c r="H17" i="66"/>
  <c r="M17" i="66"/>
  <c r="Q17" i="66"/>
  <c r="Y17" i="66"/>
  <c r="L17" i="66"/>
  <c r="P17" i="66"/>
  <c r="T17" i="66"/>
  <c r="X17" i="66"/>
  <c r="I17" i="66"/>
  <c r="U17" i="66"/>
  <c r="G4" i="9"/>
  <c r="N24" i="78" l="1"/>
  <c r="N22" i="78"/>
  <c r="M28" i="78"/>
  <c r="M27" i="78"/>
  <c r="O58" i="105"/>
  <c r="O56" i="77"/>
  <c r="O21" i="78"/>
  <c r="M4" i="79"/>
  <c r="P14" i="78"/>
  <c r="P19" i="78" s="1"/>
  <c r="L29" i="78"/>
  <c r="K38" i="78"/>
  <c r="K40" i="78" s="1"/>
  <c r="K37" i="78"/>
  <c r="K39" i="78" s="1"/>
  <c r="G7" i="95"/>
  <c r="M22" i="105"/>
  <c r="B14" i="99"/>
  <c r="C9" i="101"/>
  <c r="C9" i="103"/>
  <c r="C9" i="102"/>
  <c r="C9" i="95"/>
  <c r="Q52" i="77"/>
  <c r="R54" i="105"/>
  <c r="F7" i="95"/>
  <c r="F7" i="103"/>
  <c r="F7" i="102"/>
  <c r="K64" i="100"/>
  <c r="N20" i="77" s="1"/>
  <c r="K5" i="95"/>
  <c r="K5" i="101"/>
  <c r="K5" i="103"/>
  <c r="K5" i="102"/>
  <c r="O15" i="66"/>
  <c r="G9" i="96"/>
  <c r="F9" i="96"/>
  <c r="E9" i="96"/>
  <c r="D9" i="96"/>
  <c r="R14" i="77"/>
  <c r="R13" i="77" s="1"/>
  <c r="R11" i="94"/>
  <c r="R10" i="94" s="1"/>
  <c r="B9" i="56"/>
  <c r="B9" i="91"/>
  <c r="N14" i="94"/>
  <c r="N14" i="39"/>
  <c r="H7" i="56" s="1"/>
  <c r="Q48" i="94"/>
  <c r="E7" i="93"/>
  <c r="S48" i="80"/>
  <c r="S10" i="80"/>
  <c r="E9" i="81"/>
  <c r="D9" i="81"/>
  <c r="F9" i="81"/>
  <c r="G9" i="81"/>
  <c r="C9" i="81"/>
  <c r="C12" i="74"/>
  <c r="E15" i="57"/>
  <c r="E9" i="56"/>
  <c r="B7" i="57"/>
  <c r="C7" i="67" s="1"/>
  <c r="E7" i="67" s="1"/>
  <c r="F7" i="67" s="1"/>
  <c r="R50" i="66"/>
  <c r="R10" i="66"/>
  <c r="P5" i="51"/>
  <c r="S16" i="105" s="1"/>
  <c r="S15" i="105" s="1"/>
  <c r="R11" i="39"/>
  <c r="R10" i="39" s="1"/>
  <c r="R48" i="39" s="1"/>
  <c r="Q9" i="51"/>
  <c r="T11" i="80" s="1"/>
  <c r="S11" i="66"/>
  <c r="K5" i="56"/>
  <c r="Q10" i="39"/>
  <c r="Q48" i="39" s="1"/>
  <c r="H4" i="9"/>
  <c r="G7" i="101" l="1"/>
  <c r="G7" i="103"/>
  <c r="G7" i="102"/>
  <c r="L37" i="78"/>
  <c r="L39" i="78" s="1"/>
  <c r="M29" i="78"/>
  <c r="L38" i="78"/>
  <c r="L40" i="78" s="1"/>
  <c r="R52" i="77"/>
  <c r="H7" i="103"/>
  <c r="N22" i="105"/>
  <c r="P58" i="105"/>
  <c r="P21" i="78"/>
  <c r="P56" i="77"/>
  <c r="N4" i="79"/>
  <c r="Q14" i="78"/>
  <c r="Q19" i="78" s="1"/>
  <c r="O22" i="78"/>
  <c r="O24" i="78"/>
  <c r="N27" i="78"/>
  <c r="N28" i="78"/>
  <c r="S54" i="105"/>
  <c r="L64" i="100"/>
  <c r="O20" i="77" s="1"/>
  <c r="F7" i="93"/>
  <c r="R48" i="94"/>
  <c r="P15" i="66"/>
  <c r="S14" i="77"/>
  <c r="S11" i="94"/>
  <c r="S10" i="94" s="1"/>
  <c r="O14" i="94"/>
  <c r="O14" i="39"/>
  <c r="I7" i="56" s="1"/>
  <c r="T48" i="80"/>
  <c r="T10" i="80"/>
  <c r="E12" i="74"/>
  <c r="C15" i="74"/>
  <c r="Q5" i="51"/>
  <c r="T16" i="105" s="1"/>
  <c r="T15" i="105" s="1"/>
  <c r="S11" i="39"/>
  <c r="S10" i="39" s="1"/>
  <c r="S48" i="39" s="1"/>
  <c r="S50" i="66"/>
  <c r="S10" i="66"/>
  <c r="R9" i="51"/>
  <c r="U11" i="80" s="1"/>
  <c r="T11" i="66"/>
  <c r="G7" i="67"/>
  <c r="I4" i="9"/>
  <c r="H7" i="101" l="1"/>
  <c r="Q58" i="105"/>
  <c r="Q21" i="78"/>
  <c r="Q56" i="77"/>
  <c r="H7" i="95"/>
  <c r="O4" i="79"/>
  <c r="R14" i="78"/>
  <c r="R19" i="78" s="1"/>
  <c r="H7" i="102"/>
  <c r="O22" i="105"/>
  <c r="M37" i="78"/>
  <c r="M39" i="78" s="1"/>
  <c r="N29" i="78"/>
  <c r="M38" i="78"/>
  <c r="M40" i="78" s="1"/>
  <c r="S52" i="77"/>
  <c r="S13" i="77"/>
  <c r="P24" i="78"/>
  <c r="P22" i="78"/>
  <c r="O27" i="78"/>
  <c r="O28" i="78"/>
  <c r="T54" i="105"/>
  <c r="M64" i="100"/>
  <c r="P20" i="77" s="1"/>
  <c r="I7" i="95"/>
  <c r="I7" i="102"/>
  <c r="I7" i="103"/>
  <c r="I7" i="101"/>
  <c r="S48" i="94"/>
  <c r="G7" i="93"/>
  <c r="T14" i="77"/>
  <c r="T13" i="77" s="1"/>
  <c r="T11" i="94"/>
  <c r="T10" i="94" s="1"/>
  <c r="P14" i="94"/>
  <c r="P14" i="39"/>
  <c r="J7" i="56" s="1"/>
  <c r="Q15" i="66"/>
  <c r="U48" i="80"/>
  <c r="U10" i="80"/>
  <c r="Z19" i="80"/>
  <c r="V19" i="80"/>
  <c r="R19" i="80"/>
  <c r="N19" i="80"/>
  <c r="Y19" i="80"/>
  <c r="U19" i="80"/>
  <c r="Q19" i="80"/>
  <c r="M19" i="80"/>
  <c r="I19" i="80"/>
  <c r="I49" i="80" s="1"/>
  <c r="X19" i="80"/>
  <c r="T19" i="80"/>
  <c r="P19" i="80"/>
  <c r="L19" i="80"/>
  <c r="H19" i="80"/>
  <c r="H49" i="80" s="1"/>
  <c r="S19" i="80"/>
  <c r="O19" i="80"/>
  <c r="K19" i="80"/>
  <c r="W19" i="80"/>
  <c r="I20" i="66"/>
  <c r="M20" i="66"/>
  <c r="Q20" i="66"/>
  <c r="U20" i="66"/>
  <c r="Y20" i="66"/>
  <c r="O20" i="66"/>
  <c r="S20" i="66"/>
  <c r="H20" i="66"/>
  <c r="L20" i="66"/>
  <c r="T20" i="66"/>
  <c r="X20" i="66"/>
  <c r="J20" i="66"/>
  <c r="N20" i="66"/>
  <c r="R20" i="66"/>
  <c r="V20" i="66"/>
  <c r="Z20" i="66"/>
  <c r="K20" i="66"/>
  <c r="W20" i="66"/>
  <c r="P20" i="66"/>
  <c r="E15" i="74"/>
  <c r="F12" i="74"/>
  <c r="T50" i="66"/>
  <c r="T10" i="66"/>
  <c r="S9" i="51"/>
  <c r="V11" i="80" s="1"/>
  <c r="U11" i="66"/>
  <c r="R5" i="51"/>
  <c r="U16" i="105" s="1"/>
  <c r="U15" i="105" s="1"/>
  <c r="T11" i="39"/>
  <c r="T10" i="39" s="1"/>
  <c r="T48" i="39" s="1"/>
  <c r="H7" i="67"/>
  <c r="J4" i="9"/>
  <c r="R58" i="105" l="1"/>
  <c r="R21" i="78"/>
  <c r="R56" i="77"/>
  <c r="J7" i="95"/>
  <c r="P22" i="105"/>
  <c r="P4" i="79"/>
  <c r="S14" i="78"/>
  <c r="S19" i="78" s="1"/>
  <c r="P28" i="78"/>
  <c r="P27" i="78"/>
  <c r="N37" i="78"/>
  <c r="N39" i="78" s="1"/>
  <c r="O29" i="78"/>
  <c r="N38" i="78"/>
  <c r="N40" i="78" s="1"/>
  <c r="Q24" i="78"/>
  <c r="Q22" i="78"/>
  <c r="T52" i="77"/>
  <c r="U54" i="105"/>
  <c r="N64" i="100"/>
  <c r="Q20" i="77" s="1"/>
  <c r="J7" i="101"/>
  <c r="J7" i="102"/>
  <c r="J7" i="103"/>
  <c r="H7" i="93"/>
  <c r="Q14" i="94"/>
  <c r="Q14" i="39"/>
  <c r="K7" i="56" s="1"/>
  <c r="R15" i="66"/>
  <c r="T48" i="94"/>
  <c r="U14" i="77"/>
  <c r="U11" i="94"/>
  <c r="U10" i="94" s="1"/>
  <c r="V48" i="80"/>
  <c r="V10" i="80"/>
  <c r="V21" i="80" s="1"/>
  <c r="W49" i="80"/>
  <c r="U49" i="80"/>
  <c r="U50" i="80" s="1"/>
  <c r="U21" i="80"/>
  <c r="K49" i="80"/>
  <c r="K50" i="80" s="1"/>
  <c r="K21" i="80"/>
  <c r="L49" i="80"/>
  <c r="L50" i="80" s="1"/>
  <c r="L21" i="80"/>
  <c r="I50" i="80"/>
  <c r="I21" i="80"/>
  <c r="Y49" i="80"/>
  <c r="V49" i="80"/>
  <c r="V50" i="80" s="1"/>
  <c r="X49" i="80"/>
  <c r="O49" i="80"/>
  <c r="O50" i="80" s="1"/>
  <c r="O21" i="80"/>
  <c r="P49" i="80"/>
  <c r="P50" i="80" s="1"/>
  <c r="P21" i="80"/>
  <c r="M49" i="80"/>
  <c r="M50" i="80" s="1"/>
  <c r="M21" i="80"/>
  <c r="J19" i="80"/>
  <c r="Z49" i="80"/>
  <c r="H50" i="80"/>
  <c r="H51" i="80" s="1"/>
  <c r="H21" i="80"/>
  <c r="R49" i="80"/>
  <c r="R50" i="80" s="1"/>
  <c r="R21" i="80"/>
  <c r="F15" i="74"/>
  <c r="G12" i="74"/>
  <c r="S49" i="80"/>
  <c r="S50" i="80" s="1"/>
  <c r="S21" i="80"/>
  <c r="T49" i="80"/>
  <c r="T50" i="80" s="1"/>
  <c r="T21" i="80"/>
  <c r="Q49" i="80"/>
  <c r="Q50" i="80" s="1"/>
  <c r="Q21" i="80"/>
  <c r="N49" i="80"/>
  <c r="N50" i="80" s="1"/>
  <c r="N21" i="80"/>
  <c r="T9" i="51"/>
  <c r="W11" i="80" s="1"/>
  <c r="V11" i="66"/>
  <c r="U50" i="66"/>
  <c r="U10" i="66"/>
  <c r="S5" i="51"/>
  <c r="V16" i="105" s="1"/>
  <c r="V15" i="105" s="1"/>
  <c r="U11" i="39"/>
  <c r="U10" i="39" s="1"/>
  <c r="U48" i="39" s="1"/>
  <c r="K4" i="9"/>
  <c r="S58" i="105" l="1"/>
  <c r="S21" i="78"/>
  <c r="S56" i="77"/>
  <c r="Q28" i="78"/>
  <c r="Q27" i="78"/>
  <c r="Q4" i="79"/>
  <c r="T14" i="78"/>
  <c r="T19" i="78" s="1"/>
  <c r="U52" i="77"/>
  <c r="U13" i="77"/>
  <c r="P29" i="78"/>
  <c r="O38" i="78"/>
  <c r="O40" i="78" s="1"/>
  <c r="O37" i="78"/>
  <c r="O39" i="78" s="1"/>
  <c r="K7" i="95"/>
  <c r="Q22" i="105"/>
  <c r="R22" i="78"/>
  <c r="R24" i="78"/>
  <c r="V54" i="105"/>
  <c r="O64" i="100"/>
  <c r="R20" i="77" s="1"/>
  <c r="K7" i="103"/>
  <c r="K7" i="101"/>
  <c r="U48" i="94"/>
  <c r="R14" i="94"/>
  <c r="R14" i="39"/>
  <c r="V14" i="77"/>
  <c r="V11" i="94"/>
  <c r="V10" i="94" s="1"/>
  <c r="S15" i="66"/>
  <c r="W48" i="80"/>
  <c r="W50" i="80" s="1"/>
  <c r="W10" i="80"/>
  <c r="W21" i="80" s="1"/>
  <c r="W22" i="80" s="1"/>
  <c r="G15" i="74"/>
  <c r="H12" i="74"/>
  <c r="H15" i="74" s="1"/>
  <c r="P22" i="80"/>
  <c r="P23" i="80"/>
  <c r="P24" i="80"/>
  <c r="L22" i="80"/>
  <c r="L23" i="80"/>
  <c r="L24" i="80"/>
  <c r="N22" i="80"/>
  <c r="N23" i="80"/>
  <c r="N24" i="80"/>
  <c r="J49" i="80"/>
  <c r="J50" i="80" s="1"/>
  <c r="J21" i="80"/>
  <c r="G16" i="80"/>
  <c r="G14" i="80"/>
  <c r="G15" i="80"/>
  <c r="G17" i="80"/>
  <c r="U22" i="80"/>
  <c r="U23" i="80"/>
  <c r="U24" i="80"/>
  <c r="G18" i="80"/>
  <c r="Q24" i="80"/>
  <c r="Q23" i="80"/>
  <c r="Q22" i="80"/>
  <c r="S24" i="80"/>
  <c r="S23" i="80"/>
  <c r="S22" i="80"/>
  <c r="R23" i="80"/>
  <c r="R24" i="80"/>
  <c r="R22" i="80"/>
  <c r="M22" i="80"/>
  <c r="M23" i="80"/>
  <c r="M24" i="80"/>
  <c r="O23" i="80"/>
  <c r="O22" i="80"/>
  <c r="O24" i="80"/>
  <c r="V22" i="80"/>
  <c r="V24" i="80"/>
  <c r="V23" i="80"/>
  <c r="I22" i="80"/>
  <c r="I23" i="80"/>
  <c r="I24" i="80"/>
  <c r="K23" i="80"/>
  <c r="K24" i="80"/>
  <c r="K22" i="80"/>
  <c r="W23" i="80"/>
  <c r="W24" i="80"/>
  <c r="T23" i="80"/>
  <c r="T22" i="80"/>
  <c r="T24" i="80"/>
  <c r="H23" i="80"/>
  <c r="H24" i="80"/>
  <c r="H22" i="80"/>
  <c r="V50" i="66"/>
  <c r="V10" i="66"/>
  <c r="T5" i="51"/>
  <c r="W16" i="105" s="1"/>
  <c r="W15" i="105" s="1"/>
  <c r="V11" i="39"/>
  <c r="V10" i="39" s="1"/>
  <c r="V48" i="39" s="1"/>
  <c r="U9" i="51"/>
  <c r="X11" i="80" s="1"/>
  <c r="W11" i="66"/>
  <c r="L4" i="9"/>
  <c r="E14" i="17"/>
  <c r="T58" i="105" l="1"/>
  <c r="T21" i="78"/>
  <c r="T56" i="77"/>
  <c r="R4" i="79"/>
  <c r="U14" i="78"/>
  <c r="U19" i="78" s="1"/>
  <c r="R27" i="78"/>
  <c r="R28" i="78"/>
  <c r="K7" i="102"/>
  <c r="V52" i="77"/>
  <c r="V13" i="77"/>
  <c r="R22" i="105"/>
  <c r="Q29" i="78"/>
  <c r="P37" i="78"/>
  <c r="P39" i="78" s="1"/>
  <c r="P38" i="78"/>
  <c r="P40" i="78" s="1"/>
  <c r="S24" i="78"/>
  <c r="S22" i="78"/>
  <c r="W54" i="105"/>
  <c r="P64" i="100"/>
  <c r="T15" i="66"/>
  <c r="S14" i="94"/>
  <c r="S14" i="39"/>
  <c r="W14" i="77"/>
  <c r="W13" i="77" s="1"/>
  <c r="W11" i="94"/>
  <c r="W10" i="94" s="1"/>
  <c r="V48" i="94"/>
  <c r="X48" i="80"/>
  <c r="X50" i="80" s="1"/>
  <c r="X10" i="80"/>
  <c r="X21" i="80" s="1"/>
  <c r="I27" i="80"/>
  <c r="I28" i="80"/>
  <c r="V28" i="80"/>
  <c r="V27" i="80"/>
  <c r="S27" i="80"/>
  <c r="S28" i="80"/>
  <c r="L27" i="80"/>
  <c r="L28" i="80"/>
  <c r="U28" i="80"/>
  <c r="U27" i="80"/>
  <c r="R28" i="80"/>
  <c r="R27" i="80"/>
  <c r="H29" i="80"/>
  <c r="H27" i="80"/>
  <c r="H28" i="80"/>
  <c r="M27" i="80"/>
  <c r="M28" i="80"/>
  <c r="N28" i="80"/>
  <c r="N27" i="80"/>
  <c r="W28" i="80"/>
  <c r="W27" i="80"/>
  <c r="K28" i="80"/>
  <c r="K27" i="80"/>
  <c r="O27" i="80"/>
  <c r="O28" i="80"/>
  <c r="T27" i="80"/>
  <c r="T28" i="80"/>
  <c r="Q27" i="80"/>
  <c r="Q28" i="80"/>
  <c r="J23" i="80"/>
  <c r="J24" i="80"/>
  <c r="J22" i="80"/>
  <c r="P27" i="80"/>
  <c r="P28" i="80"/>
  <c r="U5" i="51"/>
  <c r="X16" i="105" s="1"/>
  <c r="X15" i="105" s="1"/>
  <c r="W11" i="39"/>
  <c r="W10" i="39" s="1"/>
  <c r="W48" i="39" s="1"/>
  <c r="W50" i="66"/>
  <c r="W10" i="66"/>
  <c r="V9" i="51"/>
  <c r="Y11" i="80" s="1"/>
  <c r="X11" i="66"/>
  <c r="E18" i="17"/>
  <c r="M4" i="9"/>
  <c r="S22" i="105" l="1"/>
  <c r="S20" i="77"/>
  <c r="R29" i="78"/>
  <c r="Q37" i="78"/>
  <c r="Q39" i="78" s="1"/>
  <c r="Q38" i="78"/>
  <c r="Q40" i="78" s="1"/>
  <c r="U58" i="105"/>
  <c r="U21" i="78"/>
  <c r="U56" i="77"/>
  <c r="S27" i="78"/>
  <c r="S28" i="78"/>
  <c r="S4" i="79"/>
  <c r="V14" i="78"/>
  <c r="V19" i="78" s="1"/>
  <c r="W52" i="77"/>
  <c r="T22" i="78"/>
  <c r="T24" i="78"/>
  <c r="X54" i="105"/>
  <c r="Q64" i="100"/>
  <c r="T20" i="77" s="1"/>
  <c r="T14" i="94"/>
  <c r="T14" i="39"/>
  <c r="X14" i="77"/>
  <c r="X13" i="77" s="1"/>
  <c r="X11" i="94"/>
  <c r="X10" i="94" s="1"/>
  <c r="U15" i="66"/>
  <c r="W48" i="94"/>
  <c r="Y48" i="80"/>
  <c r="Y50" i="80" s="1"/>
  <c r="Y10" i="80"/>
  <c r="Y21" i="80" s="1"/>
  <c r="X24" i="80"/>
  <c r="X22" i="80"/>
  <c r="X23" i="80"/>
  <c r="J28" i="80"/>
  <c r="J27" i="80"/>
  <c r="H37" i="80"/>
  <c r="H39" i="80" s="1"/>
  <c r="H38" i="80"/>
  <c r="H40" i="80" s="1"/>
  <c r="I29" i="80"/>
  <c r="X50" i="66"/>
  <c r="X10" i="66"/>
  <c r="W9" i="51"/>
  <c r="Z11" i="80" s="1"/>
  <c r="Y11" i="66"/>
  <c r="V5" i="51"/>
  <c r="Y16" i="105" s="1"/>
  <c r="Y15" i="105" s="1"/>
  <c r="X11" i="39"/>
  <c r="X10" i="39" s="1"/>
  <c r="X48" i="39" s="1"/>
  <c r="N4" i="9"/>
  <c r="T22" i="105" l="1"/>
  <c r="T27" i="78"/>
  <c r="T28" i="78"/>
  <c r="U24" i="78"/>
  <c r="U22" i="78"/>
  <c r="V58" i="105"/>
  <c r="V21" i="78"/>
  <c r="V56" i="77"/>
  <c r="T4" i="79"/>
  <c r="W14" i="78"/>
  <c r="W19" i="78" s="1"/>
  <c r="R37" i="78"/>
  <c r="R39" i="78" s="1"/>
  <c r="S29" i="78"/>
  <c r="R38" i="78"/>
  <c r="R40" i="78" s="1"/>
  <c r="X52" i="77"/>
  <c r="Y54" i="105"/>
  <c r="R64" i="100"/>
  <c r="U20" i="77" s="1"/>
  <c r="V15" i="66"/>
  <c r="X48" i="94"/>
  <c r="Y14" i="77"/>
  <c r="Y11" i="94"/>
  <c r="Y10" i="94" s="1"/>
  <c r="U14" i="94"/>
  <c r="U14" i="39"/>
  <c r="Y22" i="80"/>
  <c r="Y23" i="80"/>
  <c r="Y24" i="80"/>
  <c r="Z48" i="80"/>
  <c r="Z50" i="80" s="1"/>
  <c r="Z10" i="80"/>
  <c r="Z21" i="80" s="1"/>
  <c r="X28" i="80"/>
  <c r="X27" i="80"/>
  <c r="I38" i="80"/>
  <c r="I40" i="80" s="1"/>
  <c r="J29" i="80"/>
  <c r="I37" i="80"/>
  <c r="I39" i="80" s="1"/>
  <c r="Y50" i="66"/>
  <c r="Y10" i="66"/>
  <c r="X9" i="51"/>
  <c r="Z11" i="66"/>
  <c r="W5" i="51"/>
  <c r="Z16" i="105" s="1"/>
  <c r="Z15" i="105" s="1"/>
  <c r="Y11" i="39"/>
  <c r="Y10" i="39" s="1"/>
  <c r="Y48" i="39" s="1"/>
  <c r="O4" i="9"/>
  <c r="V22" i="78" l="1"/>
  <c r="V24" i="78"/>
  <c r="T29" i="78"/>
  <c r="S37" i="78"/>
  <c r="S39" i="78" s="1"/>
  <c r="S38" i="78"/>
  <c r="S40" i="78" s="1"/>
  <c r="U28" i="78"/>
  <c r="U27" i="78"/>
  <c r="Y52" i="77"/>
  <c r="Y13" i="77"/>
  <c r="W58" i="105"/>
  <c r="W21" i="78"/>
  <c r="W56" i="77"/>
  <c r="U22" i="105"/>
  <c r="U4" i="79"/>
  <c r="X14" i="78"/>
  <c r="X19" i="78" s="1"/>
  <c r="E3" i="99"/>
  <c r="Z54" i="105"/>
  <c r="S64" i="100"/>
  <c r="Y48" i="94"/>
  <c r="V14" i="94"/>
  <c r="V14" i="39"/>
  <c r="Z14" i="77"/>
  <c r="Z13" i="77" s="1"/>
  <c r="Z11" i="94"/>
  <c r="Z10" i="94" s="1"/>
  <c r="W15" i="66"/>
  <c r="Y28" i="80"/>
  <c r="Y27" i="80"/>
  <c r="Z24" i="80"/>
  <c r="G33" i="80" s="1"/>
  <c r="Z23" i="80"/>
  <c r="Z22" i="80"/>
  <c r="K29" i="80"/>
  <c r="J37" i="80"/>
  <c r="J39" i="80" s="1"/>
  <c r="J38" i="80"/>
  <c r="J40" i="80" s="1"/>
  <c r="Z50" i="66"/>
  <c r="Z10" i="66"/>
  <c r="X5" i="51"/>
  <c r="Z11" i="39"/>
  <c r="Z10" i="39" s="1"/>
  <c r="Z48" i="39" s="1"/>
  <c r="P4" i="9"/>
  <c r="V22" i="105" l="1"/>
  <c r="V20" i="77"/>
  <c r="X58" i="105"/>
  <c r="X21" i="78"/>
  <c r="X56" i="77"/>
  <c r="V4" i="79"/>
  <c r="Y14" i="78"/>
  <c r="Y19" i="78" s="1"/>
  <c r="Z52" i="77"/>
  <c r="W24" i="78"/>
  <c r="W22" i="78"/>
  <c r="T37" i="78"/>
  <c r="T39" i="78" s="1"/>
  <c r="U29" i="78"/>
  <c r="T38" i="78"/>
  <c r="T40" i="78" s="1"/>
  <c r="V28" i="78"/>
  <c r="V27" i="78"/>
  <c r="T64" i="100"/>
  <c r="W20" i="77" s="1"/>
  <c r="W14" i="94"/>
  <c r="W14" i="39"/>
  <c r="X15" i="66"/>
  <c r="Z48" i="94"/>
  <c r="Z28" i="80"/>
  <c r="Z27" i="80"/>
  <c r="G32" i="80" s="1"/>
  <c r="K37" i="80"/>
  <c r="K39" i="80" s="1"/>
  <c r="K38" i="80"/>
  <c r="K40" i="80" s="1"/>
  <c r="L29" i="80"/>
  <c r="Q4" i="9"/>
  <c r="W28" i="78" l="1"/>
  <c r="W27" i="78"/>
  <c r="Y58" i="105"/>
  <c r="Y56" i="77"/>
  <c r="Y21" i="78"/>
  <c r="W4" i="79"/>
  <c r="Z14" i="78"/>
  <c r="Z19" i="78" s="1"/>
  <c r="W22" i="105"/>
  <c r="U37" i="78"/>
  <c r="U39" i="78" s="1"/>
  <c r="U38" i="78"/>
  <c r="U40" i="78" s="1"/>
  <c r="V29" i="78"/>
  <c r="X22" i="78"/>
  <c r="X24" i="78"/>
  <c r="U64" i="100"/>
  <c r="Y15" i="66"/>
  <c r="X14" i="94"/>
  <c r="X14" i="39"/>
  <c r="L37" i="80"/>
  <c r="L39" i="80" s="1"/>
  <c r="L38" i="80"/>
  <c r="L40" i="80" s="1"/>
  <c r="M29" i="80"/>
  <c r="R4" i="9"/>
  <c r="AA14" i="78" l="1"/>
  <c r="AA19" i="78" s="1"/>
  <c r="AA21" i="78" s="1"/>
  <c r="AA22" i="78" s="1"/>
  <c r="X22" i="105"/>
  <c r="X20" i="77"/>
  <c r="Z58" i="105"/>
  <c r="Z21" i="78"/>
  <c r="Z56" i="77"/>
  <c r="Y24" i="78"/>
  <c r="Y22" i="78"/>
  <c r="V37" i="78"/>
  <c r="V39" i="78" s="1"/>
  <c r="W29" i="78"/>
  <c r="V38" i="78"/>
  <c r="V40" i="78" s="1"/>
  <c r="X27" i="78"/>
  <c r="X28" i="78"/>
  <c r="V64" i="100"/>
  <c r="Y20" i="77" s="1"/>
  <c r="Y14" i="94"/>
  <c r="Y14" i="39"/>
  <c r="Z15" i="66"/>
  <c r="M38" i="80"/>
  <c r="M40" i="80" s="1"/>
  <c r="N29" i="80"/>
  <c r="M37" i="80"/>
  <c r="M39" i="80" s="1"/>
  <c r="S4" i="9"/>
  <c r="AA24" i="78" l="1"/>
  <c r="X29" i="78"/>
  <c r="W37" i="78"/>
  <c r="W39" i="78" s="1"/>
  <c r="W38" i="78"/>
  <c r="W40" i="78" s="1"/>
  <c r="AA27" i="78"/>
  <c r="AA28" i="78"/>
  <c r="G33" i="78"/>
  <c r="Y28" i="78"/>
  <c r="Y27" i="78"/>
  <c r="Z22" i="78"/>
  <c r="Z24" i="78"/>
  <c r="Y22" i="105"/>
  <c r="W64" i="100"/>
  <c r="Z20" i="77" s="1"/>
  <c r="Z14" i="94"/>
  <c r="Z14" i="39"/>
  <c r="O29" i="80"/>
  <c r="N37" i="80"/>
  <c r="N39" i="80" s="1"/>
  <c r="N38" i="80"/>
  <c r="N40" i="80" s="1"/>
  <c r="T4" i="9"/>
  <c r="Z22" i="105" l="1"/>
  <c r="Z28" i="78"/>
  <c r="Z27" i="78"/>
  <c r="G32" i="78"/>
  <c r="X38" i="78"/>
  <c r="X40" i="78" s="1"/>
  <c r="X37" i="78"/>
  <c r="X39" i="78" s="1"/>
  <c r="Y29" i="78"/>
  <c r="X64" i="100"/>
  <c r="O37" i="80"/>
  <c r="O39" i="80" s="1"/>
  <c r="O38" i="80"/>
  <c r="O40" i="80" s="1"/>
  <c r="P29" i="80"/>
  <c r="U4" i="9"/>
  <c r="Z29" i="78" l="1"/>
  <c r="Y37" i="78"/>
  <c r="Y39" i="78" s="1"/>
  <c r="Y38" i="78"/>
  <c r="Y40" i="78" s="1"/>
  <c r="P37" i="80"/>
  <c r="P39" i="80" s="1"/>
  <c r="P38" i="80"/>
  <c r="P40" i="80" s="1"/>
  <c r="Q29" i="80"/>
  <c r="V4" i="9"/>
  <c r="Z37" i="78" l="1"/>
  <c r="Z39" i="78" s="1"/>
  <c r="AA29" i="78"/>
  <c r="Z38" i="78"/>
  <c r="Z40" i="78" s="1"/>
  <c r="Q38" i="80"/>
  <c r="Q40" i="80" s="1"/>
  <c r="R29" i="80"/>
  <c r="Q37" i="80"/>
  <c r="Q39" i="80" s="1"/>
  <c r="W4" i="9"/>
  <c r="AA38" i="78" l="1"/>
  <c r="AA40" i="78" s="1"/>
  <c r="G35" i="78" s="1"/>
  <c r="AA37" i="78"/>
  <c r="AA39" i="78" s="1"/>
  <c r="G34" i="78" s="1"/>
  <c r="S29" i="80"/>
  <c r="R37" i="80"/>
  <c r="R39" i="80" s="1"/>
  <c r="R38" i="80"/>
  <c r="R40" i="80" s="1"/>
  <c r="F5" i="9"/>
  <c r="S37" i="80" l="1"/>
  <c r="S39" i="80" s="1"/>
  <c r="S38" i="80"/>
  <c r="S40" i="80" s="1"/>
  <c r="T29" i="80"/>
  <c r="G5" i="9"/>
  <c r="T37" i="80" l="1"/>
  <c r="T39" i="80" s="1"/>
  <c r="T38" i="80"/>
  <c r="T40" i="80" s="1"/>
  <c r="U29" i="80"/>
  <c r="H5" i="9"/>
  <c r="U38" i="80" l="1"/>
  <c r="U40" i="80" s="1"/>
  <c r="V29" i="80"/>
  <c r="U37" i="80"/>
  <c r="U39" i="80" s="1"/>
  <c r="J5" i="9"/>
  <c r="I5" i="9"/>
  <c r="W29" i="80" l="1"/>
  <c r="V37" i="80"/>
  <c r="V39" i="80" s="1"/>
  <c r="V38" i="80"/>
  <c r="V40" i="80" s="1"/>
  <c r="K5" i="9"/>
  <c r="W37" i="80" l="1"/>
  <c r="W39" i="80" s="1"/>
  <c r="W38" i="80"/>
  <c r="W40" i="80" s="1"/>
  <c r="X29" i="80"/>
  <c r="L5" i="9"/>
  <c r="X37" i="80" l="1"/>
  <c r="X39" i="80" s="1"/>
  <c r="X38" i="80"/>
  <c r="X40" i="80" s="1"/>
  <c r="Y29" i="80"/>
  <c r="M5" i="9"/>
  <c r="Y38" i="80" l="1"/>
  <c r="Y40" i="80" s="1"/>
  <c r="Z29" i="80"/>
  <c r="Y37" i="80"/>
  <c r="Y39" i="80" s="1"/>
  <c r="N5" i="9"/>
  <c r="Z37" i="80" l="1"/>
  <c r="Z39" i="80" s="1"/>
  <c r="G34" i="80" s="1"/>
  <c r="Z38" i="80"/>
  <c r="Z40" i="80" s="1"/>
  <c r="G35" i="80" s="1"/>
  <c r="O5" i="9"/>
  <c r="P5" i="9" l="1"/>
  <c r="Q5" i="9" l="1"/>
  <c r="R5" i="9" l="1"/>
  <c r="S5" i="9" l="1"/>
  <c r="T5" i="9" l="1"/>
  <c r="U5" i="9" l="1"/>
  <c r="V5" i="9" l="1"/>
  <c r="W5" i="9" l="1"/>
  <c r="E5" i="9" l="1"/>
  <c r="D4" i="16" l="1"/>
  <c r="D18" i="16"/>
  <c r="E14" i="99" s="1" a="1"/>
  <c r="E14" i="99" s="1"/>
  <c r="D3" i="16" l="1"/>
  <c r="E11" i="99" s="1" a="1"/>
  <c r="E11" i="99" s="1"/>
  <c r="E12" i="99" a="1"/>
  <c r="E12" i="99" s="1"/>
  <c r="D21" i="16"/>
  <c r="C45" i="16"/>
  <c r="C44" i="16"/>
  <c r="E15" i="99" l="1" a="1"/>
  <c r="E15" i="99" s="1"/>
  <c r="E117" i="100"/>
  <c r="E118" i="100" s="1"/>
  <c r="E116" i="100" s="1"/>
  <c r="E105" i="100" s="1"/>
  <c r="E121" i="100" s="1"/>
  <c r="E119" i="100" s="1"/>
  <c r="E122" i="100" s="1"/>
  <c r="E19" i="99"/>
  <c r="G8" i="39"/>
  <c r="E15" i="100"/>
  <c r="E75" i="100"/>
  <c r="E76" i="100" s="1"/>
  <c r="E74" i="100" s="1"/>
  <c r="C10" i="59"/>
  <c r="C9" i="59" s="1"/>
  <c r="B18" i="60" s="1"/>
  <c r="G8" i="94"/>
  <c r="K18" i="17"/>
  <c r="A2" i="99" l="1" a="1"/>
  <c r="A2" i="99" s="1"/>
  <c r="O26" i="105"/>
  <c r="N26" i="105"/>
  <c r="P26" i="105"/>
  <c r="V26" i="105"/>
  <c r="W26" i="105"/>
  <c r="L26" i="105"/>
  <c r="X26" i="105"/>
  <c r="H26" i="105"/>
  <c r="Q26" i="105"/>
  <c r="I26" i="105"/>
  <c r="M26" i="105"/>
  <c r="J26" i="105"/>
  <c r="K26" i="105"/>
  <c r="Z26" i="105"/>
  <c r="U26" i="105"/>
  <c r="S26" i="105"/>
  <c r="R26" i="105"/>
  <c r="T26" i="105"/>
  <c r="Y26" i="105"/>
  <c r="E95" i="100"/>
  <c r="E96" i="100" s="1"/>
  <c r="E94" i="100" s="1"/>
  <c r="E83" i="100" s="1"/>
  <c r="E99" i="100" s="1"/>
  <c r="E97" i="100" s="1"/>
  <c r="E100" i="100" s="1"/>
  <c r="E16" i="100"/>
  <c r="E14" i="100" s="1"/>
  <c r="E2" i="100" s="1"/>
  <c r="E20" i="100" s="1"/>
  <c r="C8" i="77"/>
  <c r="C12" i="77" s="1"/>
  <c r="C29" i="77" s="1"/>
  <c r="E63" i="100"/>
  <c r="E79" i="100" s="1"/>
  <c r="E77" i="100" s="1"/>
  <c r="C21" i="60"/>
  <c r="E21" i="60"/>
  <c r="D21" i="60"/>
  <c r="D20" i="60"/>
  <c r="F20" i="60"/>
  <c r="I21" i="60"/>
  <c r="G21" i="60"/>
  <c r="G20" i="60"/>
  <c r="H20" i="60"/>
  <c r="H21" i="60"/>
  <c r="B23" i="60"/>
  <c r="J21" i="60"/>
  <c r="J20" i="60"/>
  <c r="E20" i="60"/>
  <c r="E22" i="60" s="1"/>
  <c r="E11" i="58" s="1"/>
  <c r="F21" i="60"/>
  <c r="I20" i="60"/>
  <c r="C8" i="59"/>
  <c r="F14" i="92"/>
  <c r="B14" i="91"/>
  <c r="E14" i="92"/>
  <c r="C14" i="92"/>
  <c r="G14" i="92"/>
  <c r="D14" i="92"/>
  <c r="C8" i="94"/>
  <c r="D8" i="94"/>
  <c r="E8" i="94"/>
  <c r="F8" i="94"/>
  <c r="G9" i="94"/>
  <c r="G9" i="39"/>
  <c r="G14" i="81"/>
  <c r="F14" i="81"/>
  <c r="D14" i="81"/>
  <c r="E14" i="81"/>
  <c r="C14" i="81"/>
  <c r="D14" i="56"/>
  <c r="H14" i="56"/>
  <c r="B14" i="56"/>
  <c r="E14" i="56"/>
  <c r="I14" i="56"/>
  <c r="F14" i="56"/>
  <c r="J14" i="56"/>
  <c r="C14" i="56"/>
  <c r="G14" i="56"/>
  <c r="K14" i="56"/>
  <c r="C20" i="60"/>
  <c r="C22" i="60" s="1"/>
  <c r="C11" i="58" s="1"/>
  <c r="B24" i="60"/>
  <c r="B25" i="60" s="1"/>
  <c r="C18" i="60"/>
  <c r="B14" i="57"/>
  <c r="C13" i="67" s="1"/>
  <c r="E13" i="67" s="1"/>
  <c r="F13" i="67" s="1"/>
  <c r="G13" i="67" s="1"/>
  <c r="H13" i="67" s="1"/>
  <c r="E8" i="39"/>
  <c r="F8" i="39"/>
  <c r="D8" i="39"/>
  <c r="C8" i="39"/>
  <c r="E21" i="17"/>
  <c r="K21" i="17"/>
  <c r="K22" i="17" s="1"/>
  <c r="N25" i="77" l="1"/>
  <c r="V25" i="77"/>
  <c r="O25" i="77"/>
  <c r="W25" i="77"/>
  <c r="P25" i="77"/>
  <c r="X25" i="77"/>
  <c r="I25" i="77"/>
  <c r="Q25" i="77"/>
  <c r="Y25" i="77"/>
  <c r="J25" i="77"/>
  <c r="R25" i="77"/>
  <c r="Z25" i="77"/>
  <c r="K25" i="77"/>
  <c r="S25" i="77"/>
  <c r="U25" i="77"/>
  <c r="L25" i="77"/>
  <c r="T25" i="77"/>
  <c r="M25" i="77"/>
  <c r="T27" i="105"/>
  <c r="K27" i="105"/>
  <c r="I27" i="105"/>
  <c r="U27" i="105"/>
  <c r="V27" i="105"/>
  <c r="O27" i="105"/>
  <c r="Z27" i="105"/>
  <c r="M27" i="105"/>
  <c r="X27" i="105"/>
  <c r="S27" i="105"/>
  <c r="S28" i="105" s="1"/>
  <c r="R27" i="105"/>
  <c r="Y27" i="105"/>
  <c r="L27" i="105"/>
  <c r="J27" i="105"/>
  <c r="N27" i="105"/>
  <c r="P27" i="105"/>
  <c r="Q27" i="105"/>
  <c r="H27" i="105"/>
  <c r="H28" i="105" s="1"/>
  <c r="W27" i="105"/>
  <c r="B16" i="99"/>
  <c r="B22" i="99"/>
  <c r="G12" i="77"/>
  <c r="K14" i="102" s="1"/>
  <c r="F8" i="77"/>
  <c r="F12" i="77" s="1"/>
  <c r="F29" i="77" s="1"/>
  <c r="D8" i="77"/>
  <c r="D12" i="77" s="1"/>
  <c r="D29" i="77" s="1"/>
  <c r="E8" i="77"/>
  <c r="E12" i="77" s="1"/>
  <c r="E29" i="77" s="1"/>
  <c r="C11" i="103"/>
  <c r="C11" i="102"/>
  <c r="C11" i="101"/>
  <c r="D22" i="60"/>
  <c r="D11" i="58" s="1"/>
  <c r="F8" i="105"/>
  <c r="F14" i="105" s="1"/>
  <c r="F31" i="105" s="1"/>
  <c r="E8" i="105"/>
  <c r="E14" i="105" s="1"/>
  <c r="E31" i="105" s="1"/>
  <c r="G14" i="105"/>
  <c r="G6" i="99" s="1"/>
  <c r="D8" i="105"/>
  <c r="D14" i="105" s="1"/>
  <c r="D31" i="105" s="1"/>
  <c r="C8" i="105"/>
  <c r="C14" i="105" s="1"/>
  <c r="C31" i="105" s="1"/>
  <c r="I22" i="60"/>
  <c r="I11" i="58" s="1"/>
  <c r="X28" i="105"/>
  <c r="L28" i="105"/>
  <c r="P28" i="105"/>
  <c r="E80" i="100"/>
  <c r="Z28" i="105"/>
  <c r="K28" i="105"/>
  <c r="Y28" i="105"/>
  <c r="O28" i="105"/>
  <c r="R28" i="105"/>
  <c r="Q28" i="105"/>
  <c r="N28" i="105"/>
  <c r="I28" i="105"/>
  <c r="W28" i="105"/>
  <c r="V28" i="105"/>
  <c r="M28" i="105"/>
  <c r="U28" i="105"/>
  <c r="T28" i="105"/>
  <c r="G22" i="60"/>
  <c r="G11" i="58" s="1"/>
  <c r="J22" i="60"/>
  <c r="J11" i="58" s="1"/>
  <c r="B13" i="57"/>
  <c r="C14" i="67" s="1"/>
  <c r="E14" i="67" s="1"/>
  <c r="G14" i="67" s="1"/>
  <c r="B6" i="58"/>
  <c r="B10" i="58" s="1"/>
  <c r="F22" i="60"/>
  <c r="F11" i="58" s="1"/>
  <c r="H22" i="60"/>
  <c r="H11" i="58" s="1"/>
  <c r="H24" i="77"/>
  <c r="C11" i="95"/>
  <c r="H18" i="94"/>
  <c r="F25" i="94"/>
  <c r="F9" i="94"/>
  <c r="E25" i="94"/>
  <c r="E9" i="94"/>
  <c r="D25" i="94"/>
  <c r="D9" i="94"/>
  <c r="C9" i="94"/>
  <c r="C25" i="94"/>
  <c r="C23" i="60"/>
  <c r="C19" i="60"/>
  <c r="D9" i="39"/>
  <c r="D25" i="39"/>
  <c r="C9" i="39"/>
  <c r="C25" i="39"/>
  <c r="F9" i="39"/>
  <c r="F25" i="39"/>
  <c r="E9" i="39"/>
  <c r="E25" i="39"/>
  <c r="C14" i="95" l="1"/>
  <c r="G14" i="102"/>
  <c r="C14" i="59"/>
  <c r="C12" i="59" s="1"/>
  <c r="G14" i="101"/>
  <c r="F14" i="101"/>
  <c r="C14" i="101"/>
  <c r="E14" i="95"/>
  <c r="H14" i="101"/>
  <c r="K14" i="101"/>
  <c r="K14" i="95"/>
  <c r="I14" i="101"/>
  <c r="I14" i="103"/>
  <c r="F14" i="95"/>
  <c r="E14" i="102"/>
  <c r="F14" i="102"/>
  <c r="B14" i="103"/>
  <c r="I14" i="102"/>
  <c r="G14" i="95"/>
  <c r="B14" i="95"/>
  <c r="C14" i="96" s="1"/>
  <c r="F14" i="96" s="1"/>
  <c r="H14" i="95"/>
  <c r="I14" i="95"/>
  <c r="D14" i="95"/>
  <c r="J14" i="95"/>
  <c r="K14" i="103"/>
  <c r="D14" i="103"/>
  <c r="J14" i="101"/>
  <c r="G14" i="103"/>
  <c r="B14" i="102"/>
  <c r="J14" i="102"/>
  <c r="H14" i="103"/>
  <c r="D14" i="102"/>
  <c r="B14" i="101"/>
  <c r="H14" i="102"/>
  <c r="J14" i="103"/>
  <c r="F14" i="103"/>
  <c r="C14" i="103"/>
  <c r="E14" i="103"/>
  <c r="D14" i="101"/>
  <c r="E14" i="101"/>
  <c r="C14" i="102"/>
  <c r="J28" i="105"/>
  <c r="G23" i="105" s="1"/>
  <c r="Z57" i="105"/>
  <c r="Z59" i="105" s="1"/>
  <c r="Z30" i="105"/>
  <c r="Q57" i="105"/>
  <c r="Q59" i="105" s="1"/>
  <c r="Q30" i="105"/>
  <c r="S30" i="105"/>
  <c r="S57" i="105"/>
  <c r="S59" i="105" s="1"/>
  <c r="T57" i="105"/>
  <c r="T59" i="105" s="1"/>
  <c r="T30" i="105"/>
  <c r="M57" i="105"/>
  <c r="M59" i="105" s="1"/>
  <c r="M30" i="105"/>
  <c r="O57" i="105"/>
  <c r="O59" i="105" s="1"/>
  <c r="O30" i="105"/>
  <c r="P57" i="105"/>
  <c r="P59" i="105" s="1"/>
  <c r="P30" i="105"/>
  <c r="N57" i="105"/>
  <c r="N59" i="105" s="1"/>
  <c r="N30" i="105"/>
  <c r="Y57" i="105"/>
  <c r="Y59" i="105" s="1"/>
  <c r="Y30" i="105"/>
  <c r="L57" i="105"/>
  <c r="L59" i="105" s="1"/>
  <c r="L30" i="105"/>
  <c r="W57" i="105"/>
  <c r="W59" i="105" s="1"/>
  <c r="W30" i="105"/>
  <c r="X30" i="105"/>
  <c r="X57" i="105"/>
  <c r="X59" i="105" s="1"/>
  <c r="R57" i="105"/>
  <c r="R59" i="105" s="1"/>
  <c r="R30" i="105"/>
  <c r="V57" i="105"/>
  <c r="V59" i="105" s="1"/>
  <c r="V30" i="105"/>
  <c r="K57" i="105"/>
  <c r="K59" i="105" s="1"/>
  <c r="K30" i="105"/>
  <c r="U30" i="105"/>
  <c r="U57" i="105"/>
  <c r="U59" i="105" s="1"/>
  <c r="H57" i="105"/>
  <c r="H59" i="105" s="1"/>
  <c r="H61" i="105" s="1"/>
  <c r="H30" i="105"/>
  <c r="J29" i="105"/>
  <c r="G24" i="105"/>
  <c r="J30" i="105"/>
  <c r="G26" i="105"/>
  <c r="C12" i="103"/>
  <c r="C6" i="103" s="1"/>
  <c r="C13" i="103" s="1"/>
  <c r="C12" i="101"/>
  <c r="C6" i="101" s="1"/>
  <c r="C13" i="101" s="1"/>
  <c r="C12" i="102"/>
  <c r="C6" i="102" s="1"/>
  <c r="C13" i="102" s="1"/>
  <c r="I57" i="105"/>
  <c r="I59" i="105" s="1"/>
  <c r="I30" i="105"/>
  <c r="I26" i="77"/>
  <c r="G11" i="95"/>
  <c r="G11" i="102"/>
  <c r="G11" i="101"/>
  <c r="G11" i="103"/>
  <c r="K11" i="95"/>
  <c r="K11" i="103"/>
  <c r="K11" i="102"/>
  <c r="K11" i="101"/>
  <c r="H11" i="95"/>
  <c r="H11" i="102"/>
  <c r="H11" i="101"/>
  <c r="H11" i="103"/>
  <c r="D11" i="95"/>
  <c r="D11" i="103"/>
  <c r="D11" i="102"/>
  <c r="D11" i="101"/>
  <c r="E11" i="103"/>
  <c r="E11" i="102"/>
  <c r="E11" i="101"/>
  <c r="J11" i="95"/>
  <c r="J11" i="103"/>
  <c r="J11" i="102"/>
  <c r="J11" i="101"/>
  <c r="F11" i="95"/>
  <c r="F11" i="103"/>
  <c r="F11" i="102"/>
  <c r="F11" i="101"/>
  <c r="I11" i="95"/>
  <c r="I11" i="101"/>
  <c r="I11" i="103"/>
  <c r="I11" i="102"/>
  <c r="B11" i="95"/>
  <c r="B11" i="101"/>
  <c r="B11" i="103"/>
  <c r="B11" i="102"/>
  <c r="F14" i="67"/>
  <c r="H14" i="67" s="1"/>
  <c r="S18" i="94"/>
  <c r="K18" i="94"/>
  <c r="Z18" i="94"/>
  <c r="R18" i="94"/>
  <c r="J18" i="94"/>
  <c r="X18" i="94"/>
  <c r="P18" i="94"/>
  <c r="W18" i="94"/>
  <c r="O18" i="94"/>
  <c r="Y18" i="94"/>
  <c r="V18" i="94"/>
  <c r="N18" i="94"/>
  <c r="Q18" i="94"/>
  <c r="U18" i="94"/>
  <c r="M18" i="94"/>
  <c r="I18" i="94"/>
  <c r="T18" i="94"/>
  <c r="L18" i="94"/>
  <c r="C12" i="93"/>
  <c r="C11" i="92"/>
  <c r="H25" i="77"/>
  <c r="C12" i="95"/>
  <c r="C6" i="95" s="1"/>
  <c r="C13" i="95" s="1"/>
  <c r="C15" i="95" s="1"/>
  <c r="C16" i="95" s="1"/>
  <c r="C17" i="95" s="1"/>
  <c r="C5" i="97" s="1"/>
  <c r="B17" i="99"/>
  <c r="E11" i="95"/>
  <c r="C11" i="96"/>
  <c r="D18" i="60"/>
  <c r="C24" i="60"/>
  <c r="C25" i="60" s="1"/>
  <c r="C6" i="58" s="1"/>
  <c r="C10" i="58" s="1"/>
  <c r="I18" i="39"/>
  <c r="C11" i="56" s="1"/>
  <c r="M18" i="39"/>
  <c r="G11" i="56" s="1"/>
  <c r="Q18" i="39"/>
  <c r="K11" i="56" s="1"/>
  <c r="U18" i="39"/>
  <c r="Y18" i="39"/>
  <c r="P18" i="39"/>
  <c r="J11" i="56" s="1"/>
  <c r="J18" i="39"/>
  <c r="D11" i="56" s="1"/>
  <c r="N18" i="39"/>
  <c r="H11" i="56" s="1"/>
  <c r="R18" i="39"/>
  <c r="V18" i="39"/>
  <c r="Z18" i="39"/>
  <c r="L18" i="39"/>
  <c r="F11" i="56" s="1"/>
  <c r="X18" i="39"/>
  <c r="K18" i="39"/>
  <c r="O18" i="39"/>
  <c r="I11" i="56" s="1"/>
  <c r="S18" i="39"/>
  <c r="W18" i="39"/>
  <c r="H18" i="39"/>
  <c r="T18" i="39"/>
  <c r="C13" i="59" l="1"/>
  <c r="B29" i="60" s="1"/>
  <c r="B34" i="60" s="1"/>
  <c r="G14" i="96"/>
  <c r="G25" i="105"/>
  <c r="G22" i="105"/>
  <c r="D14" i="96"/>
  <c r="E14" i="96"/>
  <c r="C15" i="101"/>
  <c r="C16" i="101" s="1"/>
  <c r="C17" i="101" s="1"/>
  <c r="I32" i="60"/>
  <c r="G31" i="60"/>
  <c r="J32" i="60"/>
  <c r="E31" i="60"/>
  <c r="C29" i="60"/>
  <c r="C32" i="60"/>
  <c r="C31" i="60"/>
  <c r="E32" i="60"/>
  <c r="H31" i="60"/>
  <c r="D31" i="60"/>
  <c r="H32" i="60"/>
  <c r="J31" i="60"/>
  <c r="G32" i="60"/>
  <c r="F31" i="60"/>
  <c r="F32" i="60"/>
  <c r="F33" i="60" s="1"/>
  <c r="F11" i="97" s="1"/>
  <c r="D32" i="60"/>
  <c r="D33" i="60" s="1"/>
  <c r="D11" i="97" s="1"/>
  <c r="I31" i="60"/>
  <c r="I33" i="60" s="1"/>
  <c r="I11" i="97" s="1"/>
  <c r="C15" i="103"/>
  <c r="C16" i="103" s="1"/>
  <c r="C17" i="103" s="1"/>
  <c r="C15" i="102"/>
  <c r="C16" i="102" s="1"/>
  <c r="C17" i="102" s="1"/>
  <c r="B21" i="99"/>
  <c r="J57" i="105"/>
  <c r="J59" i="105" s="1"/>
  <c r="G27" i="105"/>
  <c r="N31" i="105"/>
  <c r="N32" i="105"/>
  <c r="T31" i="105"/>
  <c r="T32" i="105"/>
  <c r="U31" i="105"/>
  <c r="U32" i="105"/>
  <c r="X31" i="105"/>
  <c r="X32" i="105"/>
  <c r="K31" i="105"/>
  <c r="K32" i="105"/>
  <c r="W31" i="105"/>
  <c r="W32" i="105"/>
  <c r="P31" i="105"/>
  <c r="P32" i="105"/>
  <c r="S31" i="105"/>
  <c r="S32" i="105"/>
  <c r="V31" i="105"/>
  <c r="V32" i="105"/>
  <c r="L32" i="105"/>
  <c r="L31" i="105"/>
  <c r="O31" i="105"/>
  <c r="O32" i="105"/>
  <c r="Q31" i="105"/>
  <c r="Q32" i="105"/>
  <c r="I31" i="105"/>
  <c r="I32" i="105"/>
  <c r="J31" i="105"/>
  <c r="J32" i="105"/>
  <c r="H31" i="105"/>
  <c r="H32" i="105"/>
  <c r="R31" i="105"/>
  <c r="R32" i="105"/>
  <c r="Y31" i="105"/>
  <c r="Y32" i="105"/>
  <c r="M31" i="105"/>
  <c r="M32" i="105"/>
  <c r="Z31" i="105"/>
  <c r="Z32" i="105"/>
  <c r="D12" i="95"/>
  <c r="D6" i="95" s="1"/>
  <c r="D13" i="95" s="1"/>
  <c r="D15" i="95" s="1"/>
  <c r="D16" i="95" s="1"/>
  <c r="D17" i="95" s="1"/>
  <c r="D5" i="97" s="1"/>
  <c r="D12" i="102"/>
  <c r="D6" i="102" s="1"/>
  <c r="D13" i="102" s="1"/>
  <c r="D15" i="102" s="1"/>
  <c r="D16" i="102" s="1"/>
  <c r="D17" i="102" s="1"/>
  <c r="D12" i="103"/>
  <c r="D6" i="103" s="1"/>
  <c r="D13" i="103" s="1"/>
  <c r="D15" i="103" s="1"/>
  <c r="D12" i="101"/>
  <c r="D6" i="101" s="1"/>
  <c r="D13" i="101" s="1"/>
  <c r="D15" i="101" s="1"/>
  <c r="F12" i="95"/>
  <c r="F6" i="95" s="1"/>
  <c r="F13" i="95" s="1"/>
  <c r="F15" i="95" s="1"/>
  <c r="F16" i="95" s="1"/>
  <c r="F17" i="95" s="1"/>
  <c r="F5" i="97" s="1"/>
  <c r="F12" i="101"/>
  <c r="F6" i="101" s="1"/>
  <c r="F13" i="101" s="1"/>
  <c r="F15" i="101" s="1"/>
  <c r="F12" i="102"/>
  <c r="F6" i="102" s="1"/>
  <c r="F13" i="102" s="1"/>
  <c r="F15" i="102" s="1"/>
  <c r="F12" i="103"/>
  <c r="F6" i="103" s="1"/>
  <c r="F13" i="103" s="1"/>
  <c r="F15" i="103" s="1"/>
  <c r="F16" i="103" s="1"/>
  <c r="F17" i="103" s="1"/>
  <c r="K12" i="95"/>
  <c r="K6" i="95" s="1"/>
  <c r="K13" i="95" s="1"/>
  <c r="K15" i="95" s="1"/>
  <c r="K16" i="95" s="1"/>
  <c r="K17" i="95" s="1"/>
  <c r="K12" i="102"/>
  <c r="K6" i="102" s="1"/>
  <c r="K13" i="102" s="1"/>
  <c r="K15" i="102" s="1"/>
  <c r="K16" i="102" s="1"/>
  <c r="K17" i="102" s="1"/>
  <c r="K12" i="101"/>
  <c r="K6" i="101" s="1"/>
  <c r="K13" i="101" s="1"/>
  <c r="K15" i="101" s="1"/>
  <c r="K16" i="101" s="1"/>
  <c r="K17" i="101" s="1"/>
  <c r="K12" i="103"/>
  <c r="K6" i="103" s="1"/>
  <c r="K13" i="103" s="1"/>
  <c r="K15" i="103" s="1"/>
  <c r="K16" i="103" s="1"/>
  <c r="K17" i="103" s="1"/>
  <c r="H12" i="95"/>
  <c r="H6" i="95" s="1"/>
  <c r="H13" i="95" s="1"/>
  <c r="H15" i="95" s="1"/>
  <c r="H16" i="95" s="1"/>
  <c r="H17" i="95" s="1"/>
  <c r="H5" i="97" s="1"/>
  <c r="H12" i="102"/>
  <c r="H6" i="102" s="1"/>
  <c r="H13" i="102" s="1"/>
  <c r="H15" i="102" s="1"/>
  <c r="H16" i="102" s="1"/>
  <c r="H17" i="102" s="1"/>
  <c r="H12" i="101"/>
  <c r="H6" i="101" s="1"/>
  <c r="H13" i="101" s="1"/>
  <c r="H15" i="101" s="1"/>
  <c r="H16" i="101" s="1"/>
  <c r="H17" i="101" s="1"/>
  <c r="H12" i="103"/>
  <c r="H6" i="103" s="1"/>
  <c r="H13" i="103" s="1"/>
  <c r="H15" i="103" s="1"/>
  <c r="H16" i="103" s="1"/>
  <c r="H17" i="103" s="1"/>
  <c r="J12" i="95"/>
  <c r="J6" i="95" s="1"/>
  <c r="J13" i="95" s="1"/>
  <c r="J15" i="95" s="1"/>
  <c r="J16" i="95" s="1"/>
  <c r="J17" i="95" s="1"/>
  <c r="J5" i="97" s="1"/>
  <c r="J12" i="101"/>
  <c r="J6" i="101" s="1"/>
  <c r="J13" i="101" s="1"/>
  <c r="J15" i="101" s="1"/>
  <c r="J12" i="102"/>
  <c r="J6" i="102" s="1"/>
  <c r="J13" i="102" s="1"/>
  <c r="J15" i="102" s="1"/>
  <c r="J12" i="103"/>
  <c r="J6" i="103" s="1"/>
  <c r="J13" i="103" s="1"/>
  <c r="J15" i="103" s="1"/>
  <c r="J16" i="103" s="1"/>
  <c r="J17" i="103" s="1"/>
  <c r="I12" i="95"/>
  <c r="I6" i="95" s="1"/>
  <c r="I13" i="95" s="1"/>
  <c r="I15" i="95" s="1"/>
  <c r="I16" i="95" s="1"/>
  <c r="I17" i="95" s="1"/>
  <c r="I5" i="97" s="1"/>
  <c r="I12" i="102"/>
  <c r="I6" i="102" s="1"/>
  <c r="I13" i="102" s="1"/>
  <c r="I15" i="102" s="1"/>
  <c r="I12" i="101"/>
  <c r="I6" i="101" s="1"/>
  <c r="I13" i="101" s="1"/>
  <c r="I15" i="101" s="1"/>
  <c r="I16" i="101" s="1"/>
  <c r="I17" i="101" s="1"/>
  <c r="I12" i="103"/>
  <c r="I6" i="103" s="1"/>
  <c r="I13" i="103" s="1"/>
  <c r="I15" i="103" s="1"/>
  <c r="I16" i="103" s="1"/>
  <c r="I17" i="103" s="1"/>
  <c r="E12" i="103"/>
  <c r="E6" i="103" s="1"/>
  <c r="E13" i="103" s="1"/>
  <c r="E15" i="103" s="1"/>
  <c r="E16" i="103" s="1"/>
  <c r="E17" i="103" s="1"/>
  <c r="E12" i="101"/>
  <c r="E6" i="101" s="1"/>
  <c r="E13" i="101" s="1"/>
  <c r="E15" i="101" s="1"/>
  <c r="E12" i="102"/>
  <c r="E6" i="102" s="1"/>
  <c r="E13" i="102" s="1"/>
  <c r="E15" i="102" s="1"/>
  <c r="B12" i="95"/>
  <c r="B6" i="95" s="1"/>
  <c r="B13" i="95" s="1"/>
  <c r="B15" i="95" s="1"/>
  <c r="B16" i="95" s="1"/>
  <c r="B17" i="95" s="1"/>
  <c r="B5" i="97" s="1"/>
  <c r="B12" i="102"/>
  <c r="B6" i="102" s="1"/>
  <c r="B13" i="102" s="1"/>
  <c r="B15" i="102" s="1"/>
  <c r="B16" i="102" s="1"/>
  <c r="B17" i="102" s="1"/>
  <c r="B12" i="103"/>
  <c r="B6" i="103" s="1"/>
  <c r="B13" i="103" s="1"/>
  <c r="B15" i="103" s="1"/>
  <c r="B16" i="103" s="1"/>
  <c r="B17" i="103" s="1"/>
  <c r="B12" i="101"/>
  <c r="B6" i="101" s="1"/>
  <c r="B13" i="101" s="1"/>
  <c r="B15" i="101" s="1"/>
  <c r="B16" i="101" s="1"/>
  <c r="B17" i="101" s="1"/>
  <c r="G12" i="95"/>
  <c r="G6" i="95" s="1"/>
  <c r="G13" i="95" s="1"/>
  <c r="G15" i="95" s="1"/>
  <c r="G16" i="95" s="1"/>
  <c r="G17" i="95" s="1"/>
  <c r="G5" i="97" s="1"/>
  <c r="G12" i="102"/>
  <c r="G6" i="102" s="1"/>
  <c r="G13" i="102" s="1"/>
  <c r="G15" i="102" s="1"/>
  <c r="G16" i="102" s="1"/>
  <c r="G17" i="102" s="1"/>
  <c r="G12" i="103"/>
  <c r="G6" i="103" s="1"/>
  <c r="G13" i="103" s="1"/>
  <c r="G15" i="103" s="1"/>
  <c r="G16" i="103" s="1"/>
  <c r="G17" i="103" s="1"/>
  <c r="G12" i="101"/>
  <c r="G6" i="101" s="1"/>
  <c r="G13" i="101" s="1"/>
  <c r="G15" i="101" s="1"/>
  <c r="G16" i="101" s="1"/>
  <c r="G17" i="101" s="1"/>
  <c r="C34" i="60"/>
  <c r="G33" i="60"/>
  <c r="G11" i="97" s="1"/>
  <c r="B35" i="60"/>
  <c r="B36" i="60" s="1"/>
  <c r="B6" i="97" s="1"/>
  <c r="B10" i="97" s="1"/>
  <c r="B13" i="97" s="1"/>
  <c r="D11" i="96"/>
  <c r="F11" i="96"/>
  <c r="G11" i="96"/>
  <c r="E11" i="96"/>
  <c r="G11" i="92"/>
  <c r="D11" i="92"/>
  <c r="E11" i="92"/>
  <c r="F11" i="92"/>
  <c r="B11" i="56"/>
  <c r="B11" i="91"/>
  <c r="C15" i="93"/>
  <c r="E12" i="93"/>
  <c r="E12" i="95"/>
  <c r="E6" i="95" s="1"/>
  <c r="E13" i="95" s="1"/>
  <c r="E15" i="95" s="1"/>
  <c r="E16" i="95" s="1"/>
  <c r="E17" i="95" s="1"/>
  <c r="E5" i="97" s="1"/>
  <c r="C12" i="96"/>
  <c r="C6" i="96" s="1"/>
  <c r="F11" i="81"/>
  <c r="D11" i="81"/>
  <c r="E11" i="81"/>
  <c r="G11" i="81"/>
  <c r="C11" i="81"/>
  <c r="D19" i="60"/>
  <c r="D24" i="60" s="1"/>
  <c r="D23" i="60"/>
  <c r="E11" i="56"/>
  <c r="B12" i="57"/>
  <c r="C12" i="67" s="1"/>
  <c r="C15" i="67" s="1"/>
  <c r="C33" i="60" l="1"/>
  <c r="C11" i="97" s="1"/>
  <c r="J33" i="60"/>
  <c r="J11" i="97" s="1"/>
  <c r="E33" i="60"/>
  <c r="E11" i="97" s="1"/>
  <c r="C30" i="60"/>
  <c r="D29" i="60" s="1"/>
  <c r="H33" i="60"/>
  <c r="H11" i="97" s="1"/>
  <c r="R34" i="105"/>
  <c r="R35" i="105"/>
  <c r="Q35" i="105"/>
  <c r="Q34" i="105"/>
  <c r="S34" i="105"/>
  <c r="S35" i="105"/>
  <c r="X34" i="105"/>
  <c r="X35" i="105"/>
  <c r="Z34" i="105"/>
  <c r="Z35" i="105"/>
  <c r="H35" i="105"/>
  <c r="H34" i="105"/>
  <c r="H36" i="105"/>
  <c r="G40" i="105"/>
  <c r="O34" i="105"/>
  <c r="O35" i="105"/>
  <c r="P35" i="105"/>
  <c r="P34" i="105"/>
  <c r="U35" i="105"/>
  <c r="U34" i="105"/>
  <c r="M35" i="105"/>
  <c r="M34" i="105"/>
  <c r="J35" i="105"/>
  <c r="J34" i="105"/>
  <c r="L34" i="105"/>
  <c r="L35" i="105"/>
  <c r="W34" i="105"/>
  <c r="W35" i="105"/>
  <c r="T34" i="105"/>
  <c r="T35" i="105"/>
  <c r="Y35" i="105"/>
  <c r="Y34" i="105"/>
  <c r="I34" i="105"/>
  <c r="I35" i="105"/>
  <c r="V34" i="105"/>
  <c r="V35" i="105"/>
  <c r="K34" i="105"/>
  <c r="K35" i="105"/>
  <c r="N35" i="105"/>
  <c r="N34" i="105"/>
  <c r="E16" i="102"/>
  <c r="E17" i="102" s="1"/>
  <c r="J16" i="102"/>
  <c r="J17" i="102" s="1"/>
  <c r="E16" i="101"/>
  <c r="E17" i="101" s="1"/>
  <c r="J16" i="101"/>
  <c r="J17" i="101" s="1"/>
  <c r="D16" i="101"/>
  <c r="D17" i="101" s="1"/>
  <c r="D16" i="103"/>
  <c r="D17" i="103" s="1"/>
  <c r="F16" i="102"/>
  <c r="F17" i="102" s="1"/>
  <c r="I16" i="102"/>
  <c r="I17" i="102" s="1"/>
  <c r="F16" i="101"/>
  <c r="F17" i="101" s="1"/>
  <c r="B8" i="97"/>
  <c r="B15" i="97" s="1"/>
  <c r="C35" i="60"/>
  <c r="C36" i="60" s="1"/>
  <c r="C6" i="97" s="1"/>
  <c r="G6" i="96"/>
  <c r="G13" i="96" s="1"/>
  <c r="G15" i="96" s="1"/>
  <c r="G16" i="96" s="1"/>
  <c r="G17" i="96" s="1"/>
  <c r="C25" i="96" s="1"/>
  <c r="C13" i="96"/>
  <c r="C15" i="96" s="1"/>
  <c r="C16" i="96" s="1"/>
  <c r="C17" i="96" s="1"/>
  <c r="C21" i="96" s="1"/>
  <c r="F12" i="93"/>
  <c r="E15" i="93"/>
  <c r="D12" i="96"/>
  <c r="D6" i="96" s="1"/>
  <c r="D13" i="96" s="1"/>
  <c r="D15" i="96" s="1"/>
  <c r="D16" i="96" s="1"/>
  <c r="D17" i="96" s="1"/>
  <c r="C22" i="96" s="1"/>
  <c r="E12" i="96"/>
  <c r="E6" i="96" s="1"/>
  <c r="E13" i="96" s="1"/>
  <c r="E15" i="96" s="1"/>
  <c r="E16" i="96" s="1"/>
  <c r="E17" i="96" s="1"/>
  <c r="C23" i="96" s="1"/>
  <c r="G12" i="96"/>
  <c r="F12" i="96"/>
  <c r="F6" i="96" s="1"/>
  <c r="F13" i="96" s="1"/>
  <c r="F15" i="96" s="1"/>
  <c r="D25" i="60"/>
  <c r="D6" i="58" s="1"/>
  <c r="D10" i="58" s="1"/>
  <c r="E18" i="60"/>
  <c r="E12" i="67"/>
  <c r="E15" i="67" s="1"/>
  <c r="H45" i="105" l="1"/>
  <c r="H47" i="105" s="1"/>
  <c r="H44" i="105"/>
  <c r="H46" i="105" s="1"/>
  <c r="I36" i="105"/>
  <c r="G39" i="105"/>
  <c r="D25" i="96"/>
  <c r="D23" i="96"/>
  <c r="D22" i="96"/>
  <c r="D34" i="60"/>
  <c r="D30" i="60"/>
  <c r="C10" i="97"/>
  <c r="C13" i="97" s="1"/>
  <c r="C8" i="97"/>
  <c r="F16" i="96"/>
  <c r="F17" i="96" s="1"/>
  <c r="C24" i="96" s="1"/>
  <c r="D24" i="96" s="1"/>
  <c r="G12" i="93"/>
  <c r="F15" i="93"/>
  <c r="F12" i="67"/>
  <c r="F15" i="67" s="1"/>
  <c r="E19" i="60"/>
  <c r="E23" i="60"/>
  <c r="B15" i="57"/>
  <c r="I44" i="105" l="1"/>
  <c r="I46" i="105" s="1"/>
  <c r="I45" i="105"/>
  <c r="I47" i="105" s="1"/>
  <c r="J36" i="105"/>
  <c r="D35" i="60"/>
  <c r="D36" i="60" s="1"/>
  <c r="D6" i="97" s="1"/>
  <c r="E29" i="60"/>
  <c r="C15" i="97"/>
  <c r="G15" i="93"/>
  <c r="H12" i="93"/>
  <c r="H15" i="93" s="1"/>
  <c r="G12" i="67"/>
  <c r="G15" i="67" s="1"/>
  <c r="F18" i="60"/>
  <c r="E24" i="60"/>
  <c r="E25" i="60" s="1"/>
  <c r="E6" i="58" s="1"/>
  <c r="E10" i="58" s="1"/>
  <c r="J45" i="105" l="1"/>
  <c r="J47" i="105" s="1"/>
  <c r="K36" i="105"/>
  <c r="J44" i="105"/>
  <c r="J46" i="105" s="1"/>
  <c r="D10" i="97"/>
  <c r="D13" i="97" s="1"/>
  <c r="D8" i="97"/>
  <c r="E34" i="60"/>
  <c r="E30" i="60"/>
  <c r="H12" i="67"/>
  <c r="H15" i="67" s="1"/>
  <c r="F19" i="60"/>
  <c r="F23" i="60"/>
  <c r="B13" i="58"/>
  <c r="C13" i="58"/>
  <c r="L36" i="105" l="1"/>
  <c r="K45" i="105"/>
  <c r="K47" i="105" s="1"/>
  <c r="K44" i="105"/>
  <c r="K46" i="105" s="1"/>
  <c r="D15" i="97"/>
  <c r="E35" i="60"/>
  <c r="E36" i="60" s="1"/>
  <c r="E6" i="97" s="1"/>
  <c r="F29" i="60"/>
  <c r="G18" i="60"/>
  <c r="F24" i="60"/>
  <c r="F25" i="60" s="1"/>
  <c r="F6" i="58" s="1"/>
  <c r="F10" i="58" s="1"/>
  <c r="D13" i="58"/>
  <c r="M36" i="105" l="1"/>
  <c r="L44" i="105"/>
  <c r="L46" i="105" s="1"/>
  <c r="L45" i="105"/>
  <c r="L47" i="105" s="1"/>
  <c r="E10" i="97"/>
  <c r="E13" i="97" s="1"/>
  <c r="E8" i="97"/>
  <c r="F30" i="60"/>
  <c r="F34" i="60"/>
  <c r="G19" i="60"/>
  <c r="G23" i="60"/>
  <c r="G25" i="60" s="1"/>
  <c r="G6" i="58" s="1"/>
  <c r="G10" i="58" s="1"/>
  <c r="E13" i="58"/>
  <c r="N36" i="105" l="1"/>
  <c r="M44" i="105"/>
  <c r="M46" i="105" s="1"/>
  <c r="M45" i="105"/>
  <c r="M47" i="105" s="1"/>
  <c r="E15" i="97"/>
  <c r="F35" i="60"/>
  <c r="F36" i="60" s="1"/>
  <c r="F6" i="97" s="1"/>
  <c r="G29" i="60"/>
  <c r="G24" i="60"/>
  <c r="H18" i="60"/>
  <c r="F13" i="58"/>
  <c r="N45" i="105" l="1"/>
  <c r="N47" i="105" s="1"/>
  <c r="N44" i="105"/>
  <c r="N46" i="105" s="1"/>
  <c r="O36" i="105"/>
  <c r="G34" i="60"/>
  <c r="G36" i="60" s="1"/>
  <c r="G6" i="97" s="1"/>
  <c r="G30" i="60"/>
  <c r="F10" i="97"/>
  <c r="F13" i="97" s="1"/>
  <c r="F8" i="97"/>
  <c r="H19" i="60"/>
  <c r="H23" i="60"/>
  <c r="H25" i="60" s="1"/>
  <c r="H6" i="58" s="1"/>
  <c r="H10" i="58" s="1"/>
  <c r="G13" i="58"/>
  <c r="P36" i="105" l="1"/>
  <c r="O44" i="105"/>
  <c r="O46" i="105" s="1"/>
  <c r="O45" i="105"/>
  <c r="O47" i="105" s="1"/>
  <c r="F15" i="97"/>
  <c r="G35" i="60"/>
  <c r="H29" i="60"/>
  <c r="G10" i="97"/>
  <c r="G13" i="97" s="1"/>
  <c r="G8" i="97"/>
  <c r="I18" i="60"/>
  <c r="H24" i="60"/>
  <c r="H13" i="58"/>
  <c r="P45" i="105" l="1"/>
  <c r="P47" i="105" s="1"/>
  <c r="P44" i="105"/>
  <c r="P46" i="105" s="1"/>
  <c r="Q36" i="105"/>
  <c r="G15" i="97"/>
  <c r="H34" i="60"/>
  <c r="H36" i="60" s="1"/>
  <c r="H6" i="97" s="1"/>
  <c r="H30" i="60"/>
  <c r="I19" i="60"/>
  <c r="I23" i="60"/>
  <c r="I25" i="60" s="1"/>
  <c r="I6" i="58" s="1"/>
  <c r="I10" i="58" s="1"/>
  <c r="I13" i="58" s="1"/>
  <c r="Q45" i="105" l="1"/>
  <c r="Q47" i="105" s="1"/>
  <c r="R36" i="105"/>
  <c r="Q44" i="105"/>
  <c r="Q46" i="105" s="1"/>
  <c r="H35" i="60"/>
  <c r="I29" i="60"/>
  <c r="H10" i="97"/>
  <c r="H13" i="97" s="1"/>
  <c r="H8" i="97"/>
  <c r="J18" i="60"/>
  <c r="I24" i="60"/>
  <c r="R44" i="105" l="1"/>
  <c r="R46" i="105" s="1"/>
  <c r="S36" i="105"/>
  <c r="R45" i="105"/>
  <c r="R47" i="105" s="1"/>
  <c r="H15" i="97"/>
  <c r="I30" i="60"/>
  <c r="I34" i="60"/>
  <c r="I36" i="60" s="1"/>
  <c r="I6" i="97" s="1"/>
  <c r="J19" i="60"/>
  <c r="J24" i="60" s="1"/>
  <c r="J23" i="60"/>
  <c r="J25" i="60" s="1"/>
  <c r="J6" i="58" s="1"/>
  <c r="J10" i="58" s="1"/>
  <c r="J13" i="58" s="1"/>
  <c r="S44" i="105" l="1"/>
  <c r="S46" i="105" s="1"/>
  <c r="S45" i="105"/>
  <c r="S47" i="105" s="1"/>
  <c r="T36" i="105"/>
  <c r="I10" i="97"/>
  <c r="I13" i="97" s="1"/>
  <c r="I8" i="97"/>
  <c r="I35" i="60"/>
  <c r="J29" i="60"/>
  <c r="Y19" i="94"/>
  <c r="Y20" i="94" s="1"/>
  <c r="Q19" i="94"/>
  <c r="Q20" i="94" s="1"/>
  <c r="I19" i="94"/>
  <c r="I20" i="94" s="1"/>
  <c r="O19" i="94"/>
  <c r="O20" i="94" s="1"/>
  <c r="X19" i="94"/>
  <c r="X20" i="94" s="1"/>
  <c r="P19" i="94"/>
  <c r="P20" i="94" s="1"/>
  <c r="V19" i="94"/>
  <c r="V20" i="94" s="1"/>
  <c r="N19" i="94"/>
  <c r="N20" i="94" s="1"/>
  <c r="U19" i="94"/>
  <c r="U20" i="94" s="1"/>
  <c r="M19" i="94"/>
  <c r="M20" i="94" s="1"/>
  <c r="T19" i="94"/>
  <c r="T20" i="94" s="1"/>
  <c r="L19" i="94"/>
  <c r="L20" i="94" s="1"/>
  <c r="S19" i="94"/>
  <c r="S20" i="94" s="1"/>
  <c r="K19" i="94"/>
  <c r="K20" i="94" s="1"/>
  <c r="Z19" i="94"/>
  <c r="Z20" i="94" s="1"/>
  <c r="R19" i="94"/>
  <c r="R20" i="94" s="1"/>
  <c r="J19" i="94"/>
  <c r="W19" i="94"/>
  <c r="W20" i="94" s="1"/>
  <c r="H26" i="77"/>
  <c r="H28" i="77" s="1"/>
  <c r="O26" i="77"/>
  <c r="L26" i="77"/>
  <c r="U26" i="77"/>
  <c r="Q26" i="77"/>
  <c r="Z26" i="77"/>
  <c r="W26" i="77"/>
  <c r="T26" i="77"/>
  <c r="S26" i="77"/>
  <c r="M26" i="77"/>
  <c r="Y26" i="77"/>
  <c r="V26" i="77"/>
  <c r="R26" i="77"/>
  <c r="P26" i="77"/>
  <c r="X26" i="77"/>
  <c r="K26" i="77"/>
  <c r="N26" i="77"/>
  <c r="L21" i="66"/>
  <c r="L51" i="66" s="1"/>
  <c r="T21" i="66"/>
  <c r="T51" i="66" s="1"/>
  <c r="X21" i="66"/>
  <c r="X51" i="66" s="1"/>
  <c r="K19" i="39"/>
  <c r="O19" i="39"/>
  <c r="S19" i="39"/>
  <c r="S20" i="39" s="1"/>
  <c r="W19" i="39"/>
  <c r="W20" i="39" s="1"/>
  <c r="H19" i="39"/>
  <c r="B12" i="91" s="1"/>
  <c r="E8" i="57"/>
  <c r="J19" i="39"/>
  <c r="D12" i="56" s="1"/>
  <c r="D6" i="56" s="1"/>
  <c r="Z19" i="39"/>
  <c r="Z20" i="39" s="1"/>
  <c r="M21" i="66"/>
  <c r="M51" i="66" s="1"/>
  <c r="Q21" i="66"/>
  <c r="Q51" i="66" s="1"/>
  <c r="U21" i="66"/>
  <c r="U51" i="66" s="1"/>
  <c r="L19" i="39"/>
  <c r="P19" i="39"/>
  <c r="T19" i="39"/>
  <c r="T20" i="39" s="1"/>
  <c r="X19" i="39"/>
  <c r="X20" i="39" s="1"/>
  <c r="S21" i="66"/>
  <c r="S51" i="66" s="1"/>
  <c r="N19" i="39"/>
  <c r="V19" i="39"/>
  <c r="V20" i="39" s="1"/>
  <c r="N21" i="66"/>
  <c r="N51" i="66" s="1"/>
  <c r="R21" i="66"/>
  <c r="R51" i="66" s="1"/>
  <c r="V21" i="66"/>
  <c r="V51" i="66" s="1"/>
  <c r="I19" i="39"/>
  <c r="M19" i="39"/>
  <c r="Q19" i="39"/>
  <c r="U19" i="39"/>
  <c r="U20" i="39" s="1"/>
  <c r="Y19" i="39"/>
  <c r="Y20" i="39" s="1"/>
  <c r="O21" i="66"/>
  <c r="O51" i="66" s="1"/>
  <c r="H21" i="66"/>
  <c r="H51" i="66" s="1"/>
  <c r="R19" i="39"/>
  <c r="R20" i="39" s="1"/>
  <c r="W21" i="66"/>
  <c r="W51" i="66" s="1"/>
  <c r="Z21" i="66"/>
  <c r="Z51" i="66" s="1"/>
  <c r="P21" i="66"/>
  <c r="P51" i="66" s="1"/>
  <c r="K21" i="66"/>
  <c r="K51" i="66" s="1"/>
  <c r="I21" i="66"/>
  <c r="I51" i="66" s="1"/>
  <c r="Y21" i="66"/>
  <c r="Y51" i="66" s="1"/>
  <c r="T44" i="105" l="1"/>
  <c r="T46" i="105" s="1"/>
  <c r="U36" i="105"/>
  <c r="T45" i="105"/>
  <c r="T47" i="105" s="1"/>
  <c r="J30" i="60"/>
  <c r="J35" i="60" s="1"/>
  <c r="J34" i="60"/>
  <c r="J36" i="60" s="1"/>
  <c r="J6" i="97" s="1"/>
  <c r="I15" i="97"/>
  <c r="B17" i="97"/>
  <c r="Z49" i="94"/>
  <c r="Z50" i="94" s="1"/>
  <c r="Z22" i="94"/>
  <c r="N49" i="94"/>
  <c r="N50" i="94" s="1"/>
  <c r="N22" i="94"/>
  <c r="K49" i="94"/>
  <c r="K50" i="94" s="1"/>
  <c r="K22" i="94"/>
  <c r="V49" i="94"/>
  <c r="V50" i="94" s="1"/>
  <c r="V22" i="94"/>
  <c r="S49" i="94"/>
  <c r="S50" i="94" s="1"/>
  <c r="S22" i="94"/>
  <c r="P49" i="94"/>
  <c r="P50" i="94" s="1"/>
  <c r="P22" i="94"/>
  <c r="L49" i="94"/>
  <c r="L50" i="94" s="1"/>
  <c r="L22" i="94"/>
  <c r="X49" i="94"/>
  <c r="X50" i="94" s="1"/>
  <c r="X22" i="94"/>
  <c r="T49" i="94"/>
  <c r="T50" i="94" s="1"/>
  <c r="T22" i="94"/>
  <c r="O49" i="94"/>
  <c r="O50" i="94" s="1"/>
  <c r="O22" i="94"/>
  <c r="W49" i="94"/>
  <c r="W50" i="94" s="1"/>
  <c r="W22" i="94"/>
  <c r="M49" i="94"/>
  <c r="M50" i="94" s="1"/>
  <c r="M22" i="94"/>
  <c r="I49" i="94"/>
  <c r="I50" i="94" s="1"/>
  <c r="I45" i="94"/>
  <c r="I22" i="94"/>
  <c r="J20" i="94"/>
  <c r="U49" i="94"/>
  <c r="U50" i="94" s="1"/>
  <c r="U22" i="94"/>
  <c r="Q49" i="94"/>
  <c r="Q50" i="94" s="1"/>
  <c r="Q22" i="94"/>
  <c r="R49" i="94"/>
  <c r="R50" i="94" s="1"/>
  <c r="R22" i="94"/>
  <c r="Y49" i="94"/>
  <c r="Y50" i="94" s="1"/>
  <c r="Y22" i="94"/>
  <c r="E12" i="56"/>
  <c r="E6" i="56" s="1"/>
  <c r="G12" i="81"/>
  <c r="C12" i="81"/>
  <c r="C6" i="81" s="1"/>
  <c r="D12" i="81"/>
  <c r="D6" i="81" s="1"/>
  <c r="D13" i="81" s="1"/>
  <c r="D15" i="81" s="1"/>
  <c r="D16" i="81" s="1"/>
  <c r="F12" i="81"/>
  <c r="F6" i="81" s="1"/>
  <c r="F13" i="81" s="1"/>
  <c r="F15" i="81" s="1"/>
  <c r="F16" i="81" s="1"/>
  <c r="F17" i="81" s="1"/>
  <c r="C24" i="81" s="1"/>
  <c r="E12" i="81"/>
  <c r="E6" i="81" s="1"/>
  <c r="E13" i="81" s="1"/>
  <c r="E15" i="81" s="1"/>
  <c r="E16" i="81" s="1"/>
  <c r="E17" i="81" s="1"/>
  <c r="C23" i="81" s="1"/>
  <c r="V49" i="39"/>
  <c r="V50" i="39" s="1"/>
  <c r="O20" i="39"/>
  <c r="O49" i="39" s="1"/>
  <c r="O50" i="39" s="1"/>
  <c r="I12" i="56"/>
  <c r="I6" i="56" s="1"/>
  <c r="P55" i="77"/>
  <c r="P57" i="77" s="1"/>
  <c r="P28" i="77"/>
  <c r="L55" i="77"/>
  <c r="L57" i="77" s="1"/>
  <c r="L28" i="77"/>
  <c r="R49" i="39"/>
  <c r="R50" i="39" s="1"/>
  <c r="N20" i="39"/>
  <c r="N22" i="39" s="1"/>
  <c r="H12" i="56"/>
  <c r="H6" i="56" s="1"/>
  <c r="P20" i="39"/>
  <c r="P22" i="39" s="1"/>
  <c r="J12" i="56"/>
  <c r="J6" i="56" s="1"/>
  <c r="H20" i="39"/>
  <c r="H49" i="39" s="1"/>
  <c r="B12" i="56"/>
  <c r="B6" i="56" s="1"/>
  <c r="N55" i="77"/>
  <c r="N57" i="77" s="1"/>
  <c r="N28" i="77"/>
  <c r="R55" i="77"/>
  <c r="R57" i="77" s="1"/>
  <c r="R28" i="77"/>
  <c r="S55" i="77"/>
  <c r="S57" i="77" s="1"/>
  <c r="S28" i="77"/>
  <c r="Q55" i="77"/>
  <c r="Q57" i="77" s="1"/>
  <c r="Q28" i="77"/>
  <c r="O55" i="77"/>
  <c r="O57" i="77" s="1"/>
  <c r="O28" i="77"/>
  <c r="Y49" i="39"/>
  <c r="Y50" i="39" s="1"/>
  <c r="T49" i="39"/>
  <c r="T50" i="39" s="1"/>
  <c r="Z55" i="77"/>
  <c r="Z57" i="77" s="1"/>
  <c r="Z28" i="77"/>
  <c r="H23" i="66"/>
  <c r="H26" i="66" s="1"/>
  <c r="H31" i="66" s="1"/>
  <c r="H52" i="66"/>
  <c r="H53" i="66" s="1"/>
  <c r="Q20" i="39"/>
  <c r="Q22" i="39" s="1"/>
  <c r="K12" i="56"/>
  <c r="K6" i="56" s="1"/>
  <c r="L20" i="39"/>
  <c r="I9" i="9" s="1"/>
  <c r="F12" i="56"/>
  <c r="F6" i="56" s="1"/>
  <c r="Z49" i="39"/>
  <c r="Z50" i="39" s="1"/>
  <c r="W49" i="39"/>
  <c r="W50" i="39" s="1"/>
  <c r="K55" i="77"/>
  <c r="K57" i="77" s="1"/>
  <c r="K28" i="77"/>
  <c r="V55" i="77"/>
  <c r="V57" i="77" s="1"/>
  <c r="V28" i="77"/>
  <c r="V30" i="77" s="1"/>
  <c r="T55" i="77"/>
  <c r="T57" i="77" s="1"/>
  <c r="T28" i="77"/>
  <c r="I55" i="77"/>
  <c r="I57" i="77" s="1"/>
  <c r="I28" i="77"/>
  <c r="J26" i="77"/>
  <c r="I20" i="39"/>
  <c r="C12" i="56"/>
  <c r="C6" i="56" s="1"/>
  <c r="M55" i="77"/>
  <c r="M57" i="77" s="1"/>
  <c r="M28" i="77"/>
  <c r="U49" i="39"/>
  <c r="U50" i="39" s="1"/>
  <c r="M20" i="39"/>
  <c r="M22" i="39" s="1"/>
  <c r="G12" i="56"/>
  <c r="G6" i="56" s="1"/>
  <c r="X49" i="39"/>
  <c r="X50" i="39" s="1"/>
  <c r="S49" i="39"/>
  <c r="S50" i="39" s="1"/>
  <c r="X55" i="77"/>
  <c r="X57" i="77" s="1"/>
  <c r="X28" i="77"/>
  <c r="Y55" i="77"/>
  <c r="Y57" i="77" s="1"/>
  <c r="Y28" i="77"/>
  <c r="W55" i="77"/>
  <c r="W57" i="77" s="1"/>
  <c r="W28" i="77"/>
  <c r="U55" i="77"/>
  <c r="U57" i="77" s="1"/>
  <c r="U28" i="77"/>
  <c r="H55" i="77"/>
  <c r="H57" i="77" s="1"/>
  <c r="H59" i="77" s="1"/>
  <c r="C8" i="74"/>
  <c r="E9" i="57"/>
  <c r="E10" i="57" s="1"/>
  <c r="E16" i="57" s="1"/>
  <c r="K20" i="39"/>
  <c r="B8" i="57"/>
  <c r="C8" i="67" s="1"/>
  <c r="I23" i="66"/>
  <c r="I52" i="66"/>
  <c r="Z23" i="66"/>
  <c r="Z52" i="66"/>
  <c r="O23" i="66"/>
  <c r="O25" i="66" s="1"/>
  <c r="O52" i="66"/>
  <c r="R23" i="66"/>
  <c r="R25" i="66" s="1"/>
  <c r="R52" i="66"/>
  <c r="Q23" i="66"/>
  <c r="Q25" i="66" s="1"/>
  <c r="Q52" i="66"/>
  <c r="X23" i="66"/>
  <c r="X25" i="66" s="1"/>
  <c r="X52" i="66"/>
  <c r="K23" i="66"/>
  <c r="K25" i="66" s="1"/>
  <c r="K52" i="66"/>
  <c r="N23" i="66"/>
  <c r="N26" i="66" s="1"/>
  <c r="N30" i="66" s="1"/>
  <c r="N52" i="66"/>
  <c r="M23" i="66"/>
  <c r="M25" i="66" s="1"/>
  <c r="M52" i="66"/>
  <c r="T23" i="66"/>
  <c r="T25" i="66" s="1"/>
  <c r="T52" i="66"/>
  <c r="V23" i="66"/>
  <c r="V25" i="66" s="1"/>
  <c r="V52" i="66"/>
  <c r="W23" i="66"/>
  <c r="W25" i="66" s="1"/>
  <c r="W52" i="66"/>
  <c r="S23" i="66"/>
  <c r="S52" i="66"/>
  <c r="P23" i="66"/>
  <c r="P25" i="66" s="1"/>
  <c r="P52" i="66"/>
  <c r="Y23" i="66"/>
  <c r="Y25" i="66" s="1"/>
  <c r="Y52" i="66"/>
  <c r="U23" i="66"/>
  <c r="U25" i="66" s="1"/>
  <c r="U52" i="66"/>
  <c r="L23" i="66"/>
  <c r="L25" i="66" s="1"/>
  <c r="L52" i="66"/>
  <c r="V22" i="39"/>
  <c r="S9" i="9"/>
  <c r="T22" i="39"/>
  <c r="Q9" i="9"/>
  <c r="X22" i="39"/>
  <c r="U9" i="9"/>
  <c r="R9" i="9"/>
  <c r="U22" i="39"/>
  <c r="T9" i="9"/>
  <c r="W22" i="39"/>
  <c r="R22" i="39"/>
  <c r="O9" i="9"/>
  <c r="W9" i="9"/>
  <c r="Z22" i="39"/>
  <c r="E9" i="9"/>
  <c r="Y22" i="39"/>
  <c r="V9" i="9"/>
  <c r="J21" i="66"/>
  <c r="J20" i="39"/>
  <c r="S22" i="39"/>
  <c r="P9" i="9"/>
  <c r="J27" i="77" l="1"/>
  <c r="B11" i="99" s="1"/>
  <c r="B18" i="99"/>
  <c r="U44" i="105"/>
  <c r="U46" i="105" s="1"/>
  <c r="V36" i="105"/>
  <c r="U45" i="105"/>
  <c r="U47" i="105" s="1"/>
  <c r="J49" i="39"/>
  <c r="J50" i="39" s="1"/>
  <c r="E4" i="99"/>
  <c r="T29" i="77"/>
  <c r="T32" i="77" s="1"/>
  <c r="T30" i="77"/>
  <c r="M29" i="77"/>
  <c r="M32" i="77" s="1"/>
  <c r="M30" i="77"/>
  <c r="O29" i="77"/>
  <c r="O32" i="77" s="1"/>
  <c r="O30" i="77"/>
  <c r="N29" i="77"/>
  <c r="N33" i="77" s="1"/>
  <c r="N30" i="77"/>
  <c r="L29" i="77"/>
  <c r="L32" i="77" s="1"/>
  <c r="L30" i="77"/>
  <c r="X29" i="77"/>
  <c r="X32" i="77" s="1"/>
  <c r="X30" i="77"/>
  <c r="K29" i="77"/>
  <c r="K33" i="77" s="1"/>
  <c r="K30" i="77"/>
  <c r="Q29" i="77"/>
  <c r="Q32" i="77" s="1"/>
  <c r="Q30" i="77"/>
  <c r="P29" i="77"/>
  <c r="P32" i="77" s="1"/>
  <c r="P30" i="77"/>
  <c r="Y29" i="77"/>
  <c r="Y32" i="77" s="1"/>
  <c r="Y30" i="77"/>
  <c r="W29" i="77"/>
  <c r="W33" i="77" s="1"/>
  <c r="W30" i="77"/>
  <c r="Z29" i="77"/>
  <c r="Z33" i="77" s="1"/>
  <c r="Z30" i="77"/>
  <c r="S29" i="77"/>
  <c r="S33" i="77" s="1"/>
  <c r="S30" i="77"/>
  <c r="R29" i="77"/>
  <c r="R32" i="77" s="1"/>
  <c r="R30" i="77"/>
  <c r="U29" i="77"/>
  <c r="U32" i="77" s="1"/>
  <c r="U30" i="77"/>
  <c r="I29" i="77"/>
  <c r="I33" i="77" s="1"/>
  <c r="I30" i="77"/>
  <c r="G25" i="77"/>
  <c r="V29" i="77"/>
  <c r="V32" i="77" s="1"/>
  <c r="J10" i="97"/>
  <c r="J13" i="97" s="1"/>
  <c r="J8" i="97"/>
  <c r="H22" i="39"/>
  <c r="H24" i="39" s="1"/>
  <c r="M24" i="94"/>
  <c r="M25" i="94"/>
  <c r="M23" i="94"/>
  <c r="X23" i="94"/>
  <c r="X25" i="94"/>
  <c r="X24" i="94"/>
  <c r="V23" i="94"/>
  <c r="V24" i="94"/>
  <c r="V25" i="94"/>
  <c r="U25" i="94"/>
  <c r="U23" i="94"/>
  <c r="U24" i="94"/>
  <c r="W23" i="94"/>
  <c r="W24" i="94"/>
  <c r="W25" i="94"/>
  <c r="L24" i="94"/>
  <c r="L25" i="94"/>
  <c r="L23" i="94"/>
  <c r="K23" i="94"/>
  <c r="K24" i="94"/>
  <c r="K25" i="94"/>
  <c r="Y25" i="94"/>
  <c r="Y23" i="94"/>
  <c r="Y24" i="94"/>
  <c r="J49" i="94"/>
  <c r="J50" i="94" s="1"/>
  <c r="G15" i="94"/>
  <c r="G17" i="94"/>
  <c r="J22" i="94"/>
  <c r="G14" i="94"/>
  <c r="G16" i="94"/>
  <c r="G18" i="94"/>
  <c r="G19" i="94"/>
  <c r="O25" i="94"/>
  <c r="O24" i="94"/>
  <c r="O23" i="94"/>
  <c r="P23" i="94"/>
  <c r="P24" i="94"/>
  <c r="P25" i="94"/>
  <c r="N24" i="94"/>
  <c r="N25" i="94"/>
  <c r="N23" i="94"/>
  <c r="R25" i="94"/>
  <c r="R24" i="94"/>
  <c r="R23" i="94"/>
  <c r="I25" i="94"/>
  <c r="I23" i="94"/>
  <c r="I24" i="94"/>
  <c r="T25" i="94"/>
  <c r="T24" i="94"/>
  <c r="T23" i="94"/>
  <c r="S25" i="94"/>
  <c r="S24" i="94"/>
  <c r="S23" i="94"/>
  <c r="Z25" i="94"/>
  <c r="Z23" i="94"/>
  <c r="Z24" i="94"/>
  <c r="I22" i="39"/>
  <c r="I24" i="39" s="1"/>
  <c r="I49" i="39"/>
  <c r="I50" i="39" s="1"/>
  <c r="Q25" i="94"/>
  <c r="Q23" i="94"/>
  <c r="Q24" i="94"/>
  <c r="N9" i="9"/>
  <c r="N14" i="9" s="1"/>
  <c r="N15" i="9" s="1"/>
  <c r="J9" i="9"/>
  <c r="J14" i="9" s="1"/>
  <c r="J15" i="9" s="1"/>
  <c r="M9" i="9"/>
  <c r="M14" i="9" s="1"/>
  <c r="M15" i="9" s="1"/>
  <c r="L22" i="39"/>
  <c r="L25" i="39" s="1"/>
  <c r="L28" i="39" s="1"/>
  <c r="K9" i="9"/>
  <c r="K14" i="9" s="1"/>
  <c r="K15" i="9" s="1"/>
  <c r="F9" i="9"/>
  <c r="F14" i="9" s="1"/>
  <c r="F15" i="9" s="1"/>
  <c r="L9" i="9"/>
  <c r="L10" i="9" s="1"/>
  <c r="C13" i="81"/>
  <c r="C15" i="81" s="1"/>
  <c r="C16" i="81" s="1"/>
  <c r="C17" i="81" s="1"/>
  <c r="C21" i="81" s="1"/>
  <c r="D22" i="81" s="1"/>
  <c r="G6" i="81"/>
  <c r="G13" i="81" s="1"/>
  <c r="G15" i="81" s="1"/>
  <c r="G16" i="81" s="1"/>
  <c r="G17" i="81" s="1"/>
  <c r="C25" i="81" s="1"/>
  <c r="H25" i="66"/>
  <c r="O22" i="39"/>
  <c r="O25" i="39" s="1"/>
  <c r="H24" i="66"/>
  <c r="H29" i="77"/>
  <c r="H34" i="77" s="1"/>
  <c r="H30" i="77"/>
  <c r="J51" i="66"/>
  <c r="J52" i="66" s="1"/>
  <c r="K49" i="39"/>
  <c r="K50" i="39" s="1"/>
  <c r="R33" i="77"/>
  <c r="M49" i="39"/>
  <c r="M50" i="39" s="1"/>
  <c r="Q49" i="39"/>
  <c r="Q50" i="39" s="1"/>
  <c r="H45" i="39"/>
  <c r="H50" i="39"/>
  <c r="N49" i="39"/>
  <c r="N50" i="39" s="1"/>
  <c r="J55" i="77"/>
  <c r="J57" i="77" s="1"/>
  <c r="J28" i="77"/>
  <c r="G21" i="77"/>
  <c r="G20" i="77"/>
  <c r="G23" i="77"/>
  <c r="G22" i="77"/>
  <c r="G24" i="77"/>
  <c r="I45" i="39"/>
  <c r="L49" i="39"/>
  <c r="L50" i="39" s="1"/>
  <c r="P49" i="39"/>
  <c r="P50" i="39" s="1"/>
  <c r="H9" i="9"/>
  <c r="H14" i="9" s="1"/>
  <c r="H15" i="9" s="1"/>
  <c r="K22" i="39"/>
  <c r="K23" i="39" s="1"/>
  <c r="B9" i="57"/>
  <c r="Z24" i="66"/>
  <c r="Z25" i="66"/>
  <c r="S24" i="66"/>
  <c r="S25" i="66"/>
  <c r="I24" i="66"/>
  <c r="I25" i="66"/>
  <c r="N24" i="66"/>
  <c r="N25" i="66"/>
  <c r="E8" i="74"/>
  <c r="C9" i="74"/>
  <c r="C10" i="74" s="1"/>
  <c r="C16" i="74" s="1"/>
  <c r="C20" i="74" s="1"/>
  <c r="B13" i="56"/>
  <c r="B15" i="56" s="1"/>
  <c r="L26" i="66"/>
  <c r="L29" i="66" s="1"/>
  <c r="L24" i="66"/>
  <c r="Y26" i="66"/>
  <c r="Y29" i="66" s="1"/>
  <c r="Y24" i="66"/>
  <c r="V26" i="66"/>
  <c r="V29" i="66" s="1"/>
  <c r="V24" i="66"/>
  <c r="M24" i="66"/>
  <c r="K26" i="66"/>
  <c r="K29" i="66" s="1"/>
  <c r="K24" i="66"/>
  <c r="X26" i="66"/>
  <c r="X30" i="66" s="1"/>
  <c r="X24" i="66"/>
  <c r="R26" i="66"/>
  <c r="R30" i="66" s="1"/>
  <c r="R24" i="66"/>
  <c r="U26" i="66"/>
  <c r="U30" i="66" s="1"/>
  <c r="U24" i="66"/>
  <c r="P24" i="66"/>
  <c r="W24" i="66"/>
  <c r="T24" i="66"/>
  <c r="Q24" i="66"/>
  <c r="O24" i="66"/>
  <c r="H30" i="66"/>
  <c r="Q26" i="66"/>
  <c r="Q29" i="66" s="1"/>
  <c r="O26" i="66"/>
  <c r="O29" i="66" s="1"/>
  <c r="P26" i="66"/>
  <c r="P29" i="66" s="1"/>
  <c r="W26" i="66"/>
  <c r="W30" i="66" s="1"/>
  <c r="I26" i="66"/>
  <c r="I29" i="66" s="1"/>
  <c r="T26" i="66"/>
  <c r="T30" i="66" s="1"/>
  <c r="Z26" i="66"/>
  <c r="Z30" i="66" s="1"/>
  <c r="S26" i="66"/>
  <c r="S30" i="66" s="1"/>
  <c r="M26" i="66"/>
  <c r="M30" i="66" s="1"/>
  <c r="N29" i="66"/>
  <c r="G14" i="39"/>
  <c r="Y25" i="39"/>
  <c r="Y28" i="39" s="1"/>
  <c r="Y24" i="39"/>
  <c r="Y23" i="39"/>
  <c r="W25" i="39"/>
  <c r="W28" i="39" s="1"/>
  <c r="W23" i="39"/>
  <c r="W24" i="39"/>
  <c r="U25" i="39"/>
  <c r="U29" i="39" s="1"/>
  <c r="U24" i="39"/>
  <c r="U23" i="39"/>
  <c r="V25" i="39"/>
  <c r="V28" i="39" s="1"/>
  <c r="V24" i="39"/>
  <c r="V23" i="39"/>
  <c r="S25" i="39"/>
  <c r="S28" i="39" s="1"/>
  <c r="S23" i="39"/>
  <c r="S24" i="39"/>
  <c r="Q25" i="39"/>
  <c r="Q28" i="39" s="1"/>
  <c r="Q24" i="39"/>
  <c r="Q23" i="39"/>
  <c r="Z25" i="39"/>
  <c r="Z29" i="39" s="1"/>
  <c r="Z24" i="39"/>
  <c r="Z23" i="39"/>
  <c r="T25" i="39"/>
  <c r="T28" i="39" s="1"/>
  <c r="T23" i="39"/>
  <c r="T24" i="39"/>
  <c r="P25" i="39"/>
  <c r="P29" i="39" s="1"/>
  <c r="P23" i="39"/>
  <c r="P24" i="39"/>
  <c r="M25" i="39"/>
  <c r="M28" i="39" s="1"/>
  <c r="M24" i="39"/>
  <c r="M23" i="39"/>
  <c r="R25" i="39"/>
  <c r="R28" i="39" s="1"/>
  <c r="R24" i="39"/>
  <c r="R23" i="39"/>
  <c r="N25" i="39"/>
  <c r="N29" i="39" s="1"/>
  <c r="N24" i="39"/>
  <c r="N23" i="39"/>
  <c r="X25" i="39"/>
  <c r="X29" i="39" s="1"/>
  <c r="X23" i="39"/>
  <c r="X24" i="39"/>
  <c r="G15" i="66"/>
  <c r="J23" i="66"/>
  <c r="G18" i="66"/>
  <c r="G16" i="66"/>
  <c r="G19" i="66"/>
  <c r="G17" i="66"/>
  <c r="I10" i="9"/>
  <c r="I14" i="9"/>
  <c r="I15" i="9" s="1"/>
  <c r="R10" i="9"/>
  <c r="R14" i="9"/>
  <c r="R15" i="9" s="1"/>
  <c r="G20" i="66"/>
  <c r="V10" i="9"/>
  <c r="V14" i="9"/>
  <c r="V15" i="9" s="1"/>
  <c r="T10" i="9"/>
  <c r="T14" i="9"/>
  <c r="T15" i="9" s="1"/>
  <c r="U14" i="9"/>
  <c r="U15" i="9" s="1"/>
  <c r="U10" i="9"/>
  <c r="S10" i="9"/>
  <c r="S14" i="9"/>
  <c r="S15" i="9" s="1"/>
  <c r="J22" i="39"/>
  <c r="E5" i="99" s="1"/>
  <c r="G9" i="9"/>
  <c r="G16" i="39"/>
  <c r="G15" i="39"/>
  <c r="G18" i="39"/>
  <c r="G17" i="39"/>
  <c r="E14" i="9"/>
  <c r="E15" i="9" s="1"/>
  <c r="E10" i="9"/>
  <c r="W14" i="9"/>
  <c r="W15" i="9" s="1"/>
  <c r="W10" i="9"/>
  <c r="P10" i="9"/>
  <c r="P14" i="9"/>
  <c r="P15" i="9" s="1"/>
  <c r="E8" i="67"/>
  <c r="C9" i="67"/>
  <c r="N10" i="9"/>
  <c r="G19" i="39"/>
  <c r="O10" i="9"/>
  <c r="O14" i="9"/>
  <c r="O15" i="9" s="1"/>
  <c r="Q14" i="9"/>
  <c r="Q15" i="9" s="1"/>
  <c r="Q10" i="9"/>
  <c r="N32" i="77" l="1"/>
  <c r="O33" i="77"/>
  <c r="W32" i="77"/>
  <c r="K32" i="77"/>
  <c r="X33" i="77"/>
  <c r="W36" i="105"/>
  <c r="V44" i="105"/>
  <c r="V46" i="105" s="1"/>
  <c r="V45" i="105"/>
  <c r="V47" i="105" s="1"/>
  <c r="S32" i="77"/>
  <c r="T33" i="77"/>
  <c r="I32" i="77"/>
  <c r="Z32" i="77"/>
  <c r="M33" i="77"/>
  <c r="Y33" i="77"/>
  <c r="L33" i="77"/>
  <c r="P33" i="77"/>
  <c r="Q33" i="77"/>
  <c r="J29" i="77"/>
  <c r="J33" i="77" s="1"/>
  <c r="J30" i="77"/>
  <c r="U33" i="77"/>
  <c r="V33" i="77"/>
  <c r="D25" i="81"/>
  <c r="I23" i="39"/>
  <c r="I25" i="39"/>
  <c r="I29" i="39" s="1"/>
  <c r="D24" i="81"/>
  <c r="D23" i="81"/>
  <c r="H25" i="39"/>
  <c r="H28" i="39" s="1"/>
  <c r="H23" i="39"/>
  <c r="J15" i="97"/>
  <c r="H32" i="77"/>
  <c r="Z28" i="94"/>
  <c r="Z29" i="94"/>
  <c r="P29" i="94"/>
  <c r="P28" i="94"/>
  <c r="Y28" i="94"/>
  <c r="Y29" i="94"/>
  <c r="I28" i="94"/>
  <c r="I29" i="94"/>
  <c r="K28" i="94"/>
  <c r="K29" i="94"/>
  <c r="X28" i="94"/>
  <c r="X29" i="94"/>
  <c r="J25" i="94"/>
  <c r="J23" i="94"/>
  <c r="J24" i="94"/>
  <c r="Q28" i="94"/>
  <c r="Q29" i="94"/>
  <c r="S28" i="94"/>
  <c r="S29" i="94"/>
  <c r="R29" i="94"/>
  <c r="R28" i="94"/>
  <c r="U28" i="94"/>
  <c r="U29" i="94"/>
  <c r="M28" i="94"/>
  <c r="M29" i="94"/>
  <c r="O28" i="94"/>
  <c r="O29" i="94"/>
  <c r="L28" i="94"/>
  <c r="L29" i="94"/>
  <c r="V28" i="94"/>
  <c r="V29" i="94"/>
  <c r="T28" i="94"/>
  <c r="T29" i="94"/>
  <c r="N28" i="94"/>
  <c r="N29" i="94"/>
  <c r="W29" i="94"/>
  <c r="W28" i="94"/>
  <c r="M10" i="9"/>
  <c r="F10" i="9"/>
  <c r="L24" i="39"/>
  <c r="J10" i="9"/>
  <c r="K10" i="9"/>
  <c r="L23" i="39"/>
  <c r="H10" i="9"/>
  <c r="L14" i="9"/>
  <c r="L15" i="9" s="1"/>
  <c r="O23" i="39"/>
  <c r="O24" i="39"/>
  <c r="H33" i="77"/>
  <c r="K25" i="39"/>
  <c r="K29" i="39" s="1"/>
  <c r="H43" i="77"/>
  <c r="H45" i="77" s="1"/>
  <c r="H42" i="77"/>
  <c r="H44" i="77" s="1"/>
  <c r="I34" i="77"/>
  <c r="K24" i="39"/>
  <c r="J24" i="66"/>
  <c r="J25" i="66"/>
  <c r="B16" i="56"/>
  <c r="B17" i="56" s="1"/>
  <c r="B5" i="58" s="1"/>
  <c r="F8" i="74"/>
  <c r="E9" i="74"/>
  <c r="E10" i="74" s="1"/>
  <c r="E16" i="74" s="1"/>
  <c r="C22" i="74" s="1"/>
  <c r="K30" i="66"/>
  <c r="R29" i="66"/>
  <c r="V30" i="66"/>
  <c r="L30" i="66"/>
  <c r="I31" i="66"/>
  <c r="X29" i="66"/>
  <c r="U29" i="66"/>
  <c r="Y30" i="66"/>
  <c r="H29" i="66"/>
  <c r="O30" i="66"/>
  <c r="Q30" i="66"/>
  <c r="I30" i="66"/>
  <c r="Z29" i="66"/>
  <c r="P30" i="66"/>
  <c r="T29" i="66"/>
  <c r="W29" i="66"/>
  <c r="M29" i="66"/>
  <c r="S29" i="66"/>
  <c r="W29" i="39"/>
  <c r="N28" i="39"/>
  <c r="Q29" i="39"/>
  <c r="V29" i="39"/>
  <c r="O28" i="39"/>
  <c r="O29" i="39"/>
  <c r="U28" i="39"/>
  <c r="M29" i="39"/>
  <c r="P28" i="39"/>
  <c r="R29" i="39"/>
  <c r="X28" i="39"/>
  <c r="Z28" i="39"/>
  <c r="L29" i="39"/>
  <c r="S29" i="39"/>
  <c r="Y29" i="39"/>
  <c r="T29" i="39"/>
  <c r="J25" i="39"/>
  <c r="J24" i="39"/>
  <c r="J23" i="39"/>
  <c r="J26" i="66"/>
  <c r="H29" i="39"/>
  <c r="I13" i="56"/>
  <c r="J13" i="56"/>
  <c r="G10" i="9"/>
  <c r="G14" i="9"/>
  <c r="G15" i="9" s="1"/>
  <c r="F8" i="67"/>
  <c r="E9" i="67"/>
  <c r="H30" i="39" l="1"/>
  <c r="I30" i="39" s="1"/>
  <c r="J30" i="39" s="1"/>
  <c r="I28" i="39"/>
  <c r="X36" i="105"/>
  <c r="W44" i="105"/>
  <c r="W46" i="105" s="1"/>
  <c r="W45" i="105"/>
  <c r="W47" i="105" s="1"/>
  <c r="J28" i="39"/>
  <c r="E6" i="99"/>
  <c r="G38" i="77"/>
  <c r="J32" i="77"/>
  <c r="G37" i="77" s="1"/>
  <c r="G34" i="39"/>
  <c r="G12" i="99" s="1"/>
  <c r="J28" i="94"/>
  <c r="J29" i="94"/>
  <c r="K28" i="39"/>
  <c r="G33" i="39" s="1"/>
  <c r="G9" i="99" s="1"/>
  <c r="I42" i="77"/>
  <c r="I44" i="77" s="1"/>
  <c r="I43" i="77"/>
  <c r="I45" i="77" s="1"/>
  <c r="J34" i="77"/>
  <c r="J15" i="56"/>
  <c r="I15" i="56"/>
  <c r="G8" i="74"/>
  <c r="F9" i="74"/>
  <c r="F10" i="74" s="1"/>
  <c r="F16" i="74" s="1"/>
  <c r="C23" i="74" s="1"/>
  <c r="J31" i="66"/>
  <c r="K31" i="66" s="1"/>
  <c r="L31" i="66" s="1"/>
  <c r="M31" i="66" s="1"/>
  <c r="N31" i="66" s="1"/>
  <c r="O31" i="66" s="1"/>
  <c r="P31" i="66" s="1"/>
  <c r="Q31" i="66" s="1"/>
  <c r="R31" i="66" s="1"/>
  <c r="S31" i="66" s="1"/>
  <c r="T31" i="66" s="1"/>
  <c r="U31" i="66" s="1"/>
  <c r="V31" i="66" s="1"/>
  <c r="W31" i="66" s="1"/>
  <c r="X31" i="66" s="1"/>
  <c r="Y31" i="66" s="1"/>
  <c r="Z31" i="66" s="1"/>
  <c r="H39" i="66"/>
  <c r="H41" i="66" s="1"/>
  <c r="H40" i="66"/>
  <c r="H42" i="66" s="1"/>
  <c r="G35" i="66"/>
  <c r="H39" i="39"/>
  <c r="H41" i="39" s="1"/>
  <c r="J30" i="66"/>
  <c r="J29" i="66"/>
  <c r="G34" i="66" s="1"/>
  <c r="H38" i="39"/>
  <c r="H40" i="39" s="1"/>
  <c r="J29" i="39"/>
  <c r="B8" i="58"/>
  <c r="K13" i="56"/>
  <c r="G13" i="56"/>
  <c r="C13" i="56"/>
  <c r="G8" i="67"/>
  <c r="F9" i="67"/>
  <c r="H13" i="56"/>
  <c r="F13" i="56"/>
  <c r="X45" i="105" l="1"/>
  <c r="X47" i="105" s="1"/>
  <c r="Y36" i="105"/>
  <c r="X44" i="105"/>
  <c r="X46" i="105" s="1"/>
  <c r="J43" i="77"/>
  <c r="J45" i="77" s="1"/>
  <c r="K34" i="77"/>
  <c r="J42" i="77"/>
  <c r="J44" i="77" s="1"/>
  <c r="J16" i="56"/>
  <c r="J17" i="56" s="1"/>
  <c r="J5" i="58" s="1"/>
  <c r="J8" i="58" s="1"/>
  <c r="J15" i="58" s="1"/>
  <c r="I16" i="56"/>
  <c r="I17" i="56" s="1"/>
  <c r="I5" i="58" s="1"/>
  <c r="I8" i="58" s="1"/>
  <c r="I15" i="58" s="1"/>
  <c r="K15" i="56"/>
  <c r="C15" i="56"/>
  <c r="F15" i="56"/>
  <c r="G15" i="56"/>
  <c r="H15" i="56"/>
  <c r="H8" i="74"/>
  <c r="H9" i="74" s="1"/>
  <c r="H10" i="74" s="1"/>
  <c r="H16" i="74" s="1"/>
  <c r="C25" i="74" s="1"/>
  <c r="G9" i="74"/>
  <c r="G10" i="74" s="1"/>
  <c r="G16" i="74" s="1"/>
  <c r="C24" i="74" s="1"/>
  <c r="B15" i="58"/>
  <c r="I40" i="66"/>
  <c r="I42" i="66" s="1"/>
  <c r="I39" i="66"/>
  <c r="I41" i="66" s="1"/>
  <c r="J39" i="66"/>
  <c r="J41" i="66" s="1"/>
  <c r="J40" i="66"/>
  <c r="J42" i="66" s="1"/>
  <c r="K39" i="66"/>
  <c r="K41" i="66" s="1"/>
  <c r="K40" i="66"/>
  <c r="K42" i="66" s="1"/>
  <c r="J38" i="39"/>
  <c r="J40" i="39" s="1"/>
  <c r="J39" i="39"/>
  <c r="J41" i="39" s="1"/>
  <c r="I38" i="39"/>
  <c r="I40" i="39" s="1"/>
  <c r="I39" i="39"/>
  <c r="I41" i="39" s="1"/>
  <c r="D13" i="56"/>
  <c r="K30" i="39"/>
  <c r="H8" i="67"/>
  <c r="H9" i="67" s="1"/>
  <c r="G9" i="67"/>
  <c r="E13" i="56"/>
  <c r="B10" i="57"/>
  <c r="B16" i="57" s="1"/>
  <c r="Y45" i="105" l="1"/>
  <c r="Y47" i="105" s="1"/>
  <c r="Y44" i="105"/>
  <c r="Y46" i="105" s="1"/>
  <c r="Z36" i="105"/>
  <c r="K43" i="77"/>
  <c r="K45" i="77" s="1"/>
  <c r="L34" i="77"/>
  <c r="K42" i="77"/>
  <c r="K44" i="77" s="1"/>
  <c r="G16" i="56"/>
  <c r="G17" i="56" s="1"/>
  <c r="C16" i="56"/>
  <c r="C17" i="56" s="1"/>
  <c r="C5" i="58" s="1"/>
  <c r="C8" i="58" s="1"/>
  <c r="F16" i="56"/>
  <c r="F17" i="56" s="1"/>
  <c r="F5" i="58" s="1"/>
  <c r="F8" i="58" s="1"/>
  <c r="F15" i="58" s="1"/>
  <c r="H16" i="56"/>
  <c r="H17" i="56" s="1"/>
  <c r="H5" i="58" s="1"/>
  <c r="H8" i="58" s="1"/>
  <c r="H15" i="58" s="1"/>
  <c r="K16" i="56"/>
  <c r="K17" i="56" s="1"/>
  <c r="E15" i="56"/>
  <c r="D15" i="56"/>
  <c r="L40" i="66"/>
  <c r="L42" i="66" s="1"/>
  <c r="L39" i="66"/>
  <c r="L41" i="66" s="1"/>
  <c r="K38" i="39"/>
  <c r="K40" i="39" s="1"/>
  <c r="K39" i="39"/>
  <c r="K41" i="39" s="1"/>
  <c r="L30" i="39"/>
  <c r="G3" i="67"/>
  <c r="G10" i="67" s="1"/>
  <c r="G16" i="67" s="1"/>
  <c r="C24" i="67" s="1"/>
  <c r="F3" i="67"/>
  <c r="F10" i="67" s="1"/>
  <c r="F16" i="67" s="1"/>
  <c r="C23" i="67" s="1"/>
  <c r="H3" i="67"/>
  <c r="H10" i="67" s="1"/>
  <c r="H16" i="67" s="1"/>
  <c r="C25" i="67" s="1"/>
  <c r="E3" i="67"/>
  <c r="E10" i="67" s="1"/>
  <c r="E16" i="67" s="1"/>
  <c r="C22" i="67" s="1"/>
  <c r="C10" i="67"/>
  <c r="C16" i="67" s="1"/>
  <c r="C20" i="67" s="1"/>
  <c r="Z45" i="105" l="1"/>
  <c r="Z47" i="105" s="1"/>
  <c r="G42" i="105" s="1"/>
  <c r="Z44" i="105"/>
  <c r="Z46" i="105" s="1"/>
  <c r="G41" i="105" s="1"/>
  <c r="G15" i="99" s="1"/>
  <c r="C15" i="58"/>
  <c r="M34" i="77"/>
  <c r="L43" i="77"/>
  <c r="L45" i="77" s="1"/>
  <c r="L42" i="77"/>
  <c r="L44" i="77" s="1"/>
  <c r="D16" i="56"/>
  <c r="D17" i="56" s="1"/>
  <c r="E16" i="56"/>
  <c r="E17" i="56" s="1"/>
  <c r="E5" i="58" s="1"/>
  <c r="E8" i="58" s="1"/>
  <c r="E15" i="58" s="1"/>
  <c r="G5" i="58"/>
  <c r="G8" i="58" s="1"/>
  <c r="G15" i="58" s="1"/>
  <c r="M39" i="66"/>
  <c r="M41" i="66" s="1"/>
  <c r="M40" i="66"/>
  <c r="M42" i="66" s="1"/>
  <c r="L38" i="39"/>
  <c r="L40" i="39" s="1"/>
  <c r="L39" i="39"/>
  <c r="L41" i="39" s="1"/>
  <c r="M30" i="39"/>
  <c r="M42" i="77" l="1"/>
  <c r="M44" i="77" s="1"/>
  <c r="M43" i="77"/>
  <c r="M45" i="77" s="1"/>
  <c r="N34" i="77"/>
  <c r="D5" i="58"/>
  <c r="D8" i="58" s="1"/>
  <c r="B17" i="58" s="1"/>
  <c r="N39" i="66"/>
  <c r="N41" i="66" s="1"/>
  <c r="N40" i="66"/>
  <c r="N42" i="66" s="1"/>
  <c r="M38" i="39"/>
  <c r="M40" i="39" s="1"/>
  <c r="M39" i="39"/>
  <c r="M41" i="39" s="1"/>
  <c r="N30" i="39"/>
  <c r="O34" i="77" l="1"/>
  <c r="N43" i="77"/>
  <c r="N45" i="77" s="1"/>
  <c r="N42" i="77"/>
  <c r="N44" i="77" s="1"/>
  <c r="D15" i="58"/>
  <c r="O39" i="66"/>
  <c r="O41" i="66" s="1"/>
  <c r="O40" i="66"/>
  <c r="O42" i="66" s="1"/>
  <c r="N38" i="39"/>
  <c r="N40" i="39" s="1"/>
  <c r="N39" i="39"/>
  <c r="N41" i="39" s="1"/>
  <c r="O30" i="39"/>
  <c r="O42" i="77" l="1"/>
  <c r="O44" i="77" s="1"/>
  <c r="O43" i="77"/>
  <c r="O45" i="77" s="1"/>
  <c r="P34" i="77"/>
  <c r="P40" i="66"/>
  <c r="P42" i="66" s="1"/>
  <c r="P39" i="66"/>
  <c r="P41" i="66" s="1"/>
  <c r="O38" i="39"/>
  <c r="O40" i="39" s="1"/>
  <c r="O39" i="39"/>
  <c r="O41" i="39" s="1"/>
  <c r="P30" i="39"/>
  <c r="P42" i="77" l="1"/>
  <c r="P44" i="77" s="1"/>
  <c r="Q34" i="77"/>
  <c r="P43" i="77"/>
  <c r="P45" i="77" s="1"/>
  <c r="Q39" i="66"/>
  <c r="Q41" i="66" s="1"/>
  <c r="Q40" i="66"/>
  <c r="Q42" i="66" s="1"/>
  <c r="P38" i="39"/>
  <c r="P40" i="39" s="1"/>
  <c r="P39" i="39"/>
  <c r="P41" i="39" s="1"/>
  <c r="Q30" i="39"/>
  <c r="Q43" i="77" l="1"/>
  <c r="Q45" i="77" s="1"/>
  <c r="R34" i="77"/>
  <c r="Q42" i="77"/>
  <c r="Q44" i="77" s="1"/>
  <c r="R39" i="66"/>
  <c r="R41" i="66" s="1"/>
  <c r="R40" i="66"/>
  <c r="R42" i="66" s="1"/>
  <c r="Q38" i="39"/>
  <c r="Q40" i="39" s="1"/>
  <c r="Q39" i="39"/>
  <c r="Q41" i="39" s="1"/>
  <c r="R30" i="39"/>
  <c r="R43" i="77" l="1"/>
  <c r="R45" i="77" s="1"/>
  <c r="R42" i="77"/>
  <c r="R44" i="77" s="1"/>
  <c r="S34" i="77"/>
  <c r="S39" i="66"/>
  <c r="S41" i="66" s="1"/>
  <c r="S40" i="66"/>
  <c r="S42" i="66" s="1"/>
  <c r="R38" i="39"/>
  <c r="R40" i="39" s="1"/>
  <c r="R39" i="39"/>
  <c r="R41" i="39" s="1"/>
  <c r="S30" i="39"/>
  <c r="S43" i="77" l="1"/>
  <c r="S45" i="77" s="1"/>
  <c r="T34" i="77"/>
  <c r="S42" i="77"/>
  <c r="S44" i="77" s="1"/>
  <c r="T40" i="66"/>
  <c r="T42" i="66" s="1"/>
  <c r="T39" i="66"/>
  <c r="T41" i="66" s="1"/>
  <c r="S38" i="39"/>
  <c r="S40" i="39" s="1"/>
  <c r="S39" i="39"/>
  <c r="S41" i="39" s="1"/>
  <c r="T30" i="39"/>
  <c r="T42" i="77" l="1"/>
  <c r="T44" i="77" s="1"/>
  <c r="T43" i="77"/>
  <c r="T45" i="77" s="1"/>
  <c r="U34" i="77"/>
  <c r="U39" i="66"/>
  <c r="U41" i="66" s="1"/>
  <c r="U40" i="66"/>
  <c r="U42" i="66" s="1"/>
  <c r="T38" i="39"/>
  <c r="T40" i="39" s="1"/>
  <c r="T39" i="39"/>
  <c r="T41" i="39" s="1"/>
  <c r="U30" i="39"/>
  <c r="U43" i="77" l="1"/>
  <c r="U45" i="77" s="1"/>
  <c r="V34" i="77"/>
  <c r="U42" i="77"/>
  <c r="U44" i="77" s="1"/>
  <c r="V39" i="66"/>
  <c r="V41" i="66" s="1"/>
  <c r="V40" i="66"/>
  <c r="V42" i="66" s="1"/>
  <c r="U38" i="39"/>
  <c r="U40" i="39" s="1"/>
  <c r="U39" i="39"/>
  <c r="U41" i="39" s="1"/>
  <c r="V30" i="39"/>
  <c r="W34" i="77" l="1"/>
  <c r="V43" i="77"/>
  <c r="V45" i="77" s="1"/>
  <c r="V42" i="77"/>
  <c r="V44" i="77" s="1"/>
  <c r="W39" i="66"/>
  <c r="W41" i="66" s="1"/>
  <c r="W40" i="66"/>
  <c r="W42" i="66" s="1"/>
  <c r="V38" i="39"/>
  <c r="V40" i="39" s="1"/>
  <c r="V39" i="39"/>
  <c r="V41" i="39" s="1"/>
  <c r="W30" i="39"/>
  <c r="W42" i="77" l="1"/>
  <c r="W44" i="77" s="1"/>
  <c r="X34" i="77"/>
  <c r="W43" i="77"/>
  <c r="W45" i="77" s="1"/>
  <c r="X40" i="66"/>
  <c r="X42" i="66" s="1"/>
  <c r="X39" i="66"/>
  <c r="X41" i="66" s="1"/>
  <c r="W38" i="39"/>
  <c r="W40" i="39" s="1"/>
  <c r="W39" i="39"/>
  <c r="W41" i="39" s="1"/>
  <c r="X30" i="39"/>
  <c r="X42" i="77" l="1"/>
  <c r="X44" i="77" s="1"/>
  <c r="X43" i="77"/>
  <c r="X45" i="77" s="1"/>
  <c r="Y34" i="77"/>
  <c r="Y39" i="66"/>
  <c r="Y41" i="66" s="1"/>
  <c r="Y40" i="66"/>
  <c r="Y42" i="66" s="1"/>
  <c r="X38" i="39"/>
  <c r="X40" i="39" s="1"/>
  <c r="X39" i="39"/>
  <c r="X41" i="39" s="1"/>
  <c r="Y30" i="39"/>
  <c r="Y43" i="77" l="1"/>
  <c r="Y45" i="77" s="1"/>
  <c r="Z34" i="77"/>
  <c r="Y42" i="77"/>
  <c r="Y44" i="77" s="1"/>
  <c r="Z39" i="66"/>
  <c r="Z41" i="66" s="1"/>
  <c r="G36" i="66" s="1"/>
  <c r="Z40" i="66"/>
  <c r="Z42" i="66" s="1"/>
  <c r="G37" i="66" s="1"/>
  <c r="Y38" i="39"/>
  <c r="Y40" i="39" s="1"/>
  <c r="Y39" i="39"/>
  <c r="Y41" i="39" s="1"/>
  <c r="Z30" i="39"/>
  <c r="Z39" i="39" s="1"/>
  <c r="Z41" i="39" s="1"/>
  <c r="Z43" i="77" l="1"/>
  <c r="Z45" i="77" s="1"/>
  <c r="G40" i="77" s="1"/>
  <c r="Z42" i="77"/>
  <c r="Z44" i="77" s="1"/>
  <c r="G39" i="77" s="1"/>
  <c r="G36" i="39"/>
  <c r="Z38" i="39"/>
  <c r="Z40" i="39" s="1"/>
  <c r="G35" i="39" s="1"/>
  <c r="J55" i="83" l="1"/>
  <c r="J67" i="83" s="1"/>
  <c r="N55" i="83"/>
  <c r="N67" i="83" s="1"/>
  <c r="R55" i="83"/>
  <c r="R67" i="83" s="1"/>
  <c r="V55" i="83"/>
  <c r="V67" i="83" s="1"/>
  <c r="Z55" i="83"/>
  <c r="Z67" i="83" s="1"/>
  <c r="AD55" i="83"/>
  <c r="AD67" i="83" s="1"/>
  <c r="AH55" i="83"/>
  <c r="AH67" i="83" s="1"/>
  <c r="AL55" i="83"/>
  <c r="AL67" i="83" s="1"/>
  <c r="AP55" i="83"/>
  <c r="AP67" i="83" s="1"/>
  <c r="AT55" i="83"/>
  <c r="AT67" i="83" s="1"/>
  <c r="AX55" i="83"/>
  <c r="AX67" i="83" s="1"/>
  <c r="BB55" i="83"/>
  <c r="BB67" i="83" s="1"/>
  <c r="BF55" i="83"/>
  <c r="BF67" i="83" s="1"/>
  <c r="BJ55" i="83"/>
  <c r="BJ67" i="83" s="1"/>
  <c r="BN55" i="83"/>
  <c r="BN67" i="83" s="1"/>
  <c r="BR55" i="83"/>
  <c r="BR67" i="83" s="1"/>
  <c r="BV55" i="83"/>
  <c r="BV67" i="83" s="1"/>
  <c r="BZ55" i="83"/>
  <c r="BZ67" i="83" s="1"/>
  <c r="CD55" i="83"/>
  <c r="CD67" i="83" s="1"/>
  <c r="CH55" i="83"/>
  <c r="CH67" i="83" s="1"/>
  <c r="CL55" i="83"/>
  <c r="CL67" i="83" s="1"/>
  <c r="M55" i="83"/>
  <c r="M67" i="83" s="1"/>
  <c r="Y55" i="83"/>
  <c r="Y67" i="83" s="1"/>
  <c r="AK55" i="83"/>
  <c r="AK67" i="83" s="1"/>
  <c r="AS55" i="83"/>
  <c r="AS67" i="83" s="1"/>
  <c r="BE55" i="83"/>
  <c r="BE67" i="83" s="1"/>
  <c r="BQ55" i="83"/>
  <c r="BQ67" i="83" s="1"/>
  <c r="CC55" i="83"/>
  <c r="CC67" i="83" s="1"/>
  <c r="K55" i="83"/>
  <c r="K67" i="83" s="1"/>
  <c r="O55" i="83"/>
  <c r="O67" i="83" s="1"/>
  <c r="S55" i="83"/>
  <c r="S67" i="83" s="1"/>
  <c r="W55" i="83"/>
  <c r="W67" i="83" s="1"/>
  <c r="AA55" i="83"/>
  <c r="AA67" i="83" s="1"/>
  <c r="AE55" i="83"/>
  <c r="AE67" i="83" s="1"/>
  <c r="AI55" i="83"/>
  <c r="AI67" i="83" s="1"/>
  <c r="AM55" i="83"/>
  <c r="AM67" i="83" s="1"/>
  <c r="AQ55" i="83"/>
  <c r="AQ67" i="83" s="1"/>
  <c r="AU55" i="83"/>
  <c r="AU67" i="83" s="1"/>
  <c r="AY55" i="83"/>
  <c r="AY67" i="83" s="1"/>
  <c r="BC55" i="83"/>
  <c r="BC67" i="83" s="1"/>
  <c r="BG55" i="83"/>
  <c r="BG67" i="83" s="1"/>
  <c r="BK55" i="83"/>
  <c r="BK67" i="83" s="1"/>
  <c r="BO55" i="83"/>
  <c r="BO67" i="83" s="1"/>
  <c r="BS55" i="83"/>
  <c r="BS67" i="83" s="1"/>
  <c r="BW55" i="83"/>
  <c r="BW67" i="83" s="1"/>
  <c r="CA55" i="83"/>
  <c r="CA67" i="83" s="1"/>
  <c r="CE55" i="83"/>
  <c r="CE67" i="83" s="1"/>
  <c r="CI55" i="83"/>
  <c r="CI67" i="83" s="1"/>
  <c r="I55" i="83"/>
  <c r="I67" i="83" s="1"/>
  <c r="AG55" i="83"/>
  <c r="AG67" i="83" s="1"/>
  <c r="AW55" i="83"/>
  <c r="AW67" i="83" s="1"/>
  <c r="BI55" i="83"/>
  <c r="BI67" i="83" s="1"/>
  <c r="BU55" i="83"/>
  <c r="BU67" i="83" s="1"/>
  <c r="CG55" i="83"/>
  <c r="CG67" i="83" s="1"/>
  <c r="H55" i="83"/>
  <c r="L55" i="83"/>
  <c r="L67" i="83" s="1"/>
  <c r="P55" i="83"/>
  <c r="P67" i="83" s="1"/>
  <c r="T55" i="83"/>
  <c r="T67" i="83" s="1"/>
  <c r="X55" i="83"/>
  <c r="X67" i="83" s="1"/>
  <c r="AB55" i="83"/>
  <c r="AB67" i="83" s="1"/>
  <c r="AF55" i="83"/>
  <c r="AF67" i="83" s="1"/>
  <c r="AJ55" i="83"/>
  <c r="AJ67" i="83" s="1"/>
  <c r="AN55" i="83"/>
  <c r="AN67" i="83" s="1"/>
  <c r="AR55" i="83"/>
  <c r="AR67" i="83" s="1"/>
  <c r="AV55" i="83"/>
  <c r="AV67" i="83" s="1"/>
  <c r="AZ55" i="83"/>
  <c r="AZ67" i="83" s="1"/>
  <c r="BD55" i="83"/>
  <c r="BD67" i="83" s="1"/>
  <c r="BH55" i="83"/>
  <c r="BH67" i="83" s="1"/>
  <c r="BL55" i="83"/>
  <c r="BL67" i="83" s="1"/>
  <c r="BP55" i="83"/>
  <c r="BP67" i="83" s="1"/>
  <c r="BT55" i="83"/>
  <c r="BT67" i="83" s="1"/>
  <c r="BX55" i="83"/>
  <c r="BX67" i="83" s="1"/>
  <c r="CB55" i="83"/>
  <c r="CB67" i="83" s="1"/>
  <c r="CF55" i="83"/>
  <c r="CF67" i="83" s="1"/>
  <c r="CJ55" i="83"/>
  <c r="CJ67" i="83" s="1"/>
  <c r="Q55" i="83"/>
  <c r="Q67" i="83" s="1"/>
  <c r="U55" i="83"/>
  <c r="U67" i="83" s="1"/>
  <c r="AC55" i="83"/>
  <c r="AC67" i="83" s="1"/>
  <c r="AO55" i="83"/>
  <c r="AO67" i="83" s="1"/>
  <c r="BA55" i="83"/>
  <c r="BA67" i="83" s="1"/>
  <c r="BM55" i="83"/>
  <c r="BM67" i="83" s="1"/>
  <c r="BY55" i="83"/>
  <c r="BY67" i="83" s="1"/>
  <c r="CK55" i="83"/>
  <c r="CK67" i="83" s="1"/>
  <c r="BA68" i="83" l="1"/>
  <c r="BA69" i="83"/>
  <c r="BH68" i="83"/>
  <c r="BH69" i="83"/>
  <c r="L68" i="83"/>
  <c r="L69" i="83"/>
  <c r="AQ68" i="83"/>
  <c r="AQ69" i="83"/>
  <c r="AS68" i="83"/>
  <c r="AS69" i="83"/>
  <c r="AP68" i="83"/>
  <c r="AP69" i="83"/>
  <c r="CK68" i="83"/>
  <c r="CK69" i="83"/>
  <c r="AO68" i="83"/>
  <c r="AO69" i="83"/>
  <c r="CJ68" i="83"/>
  <c r="CJ69" i="83"/>
  <c r="BT68" i="83"/>
  <c r="BT69" i="83"/>
  <c r="BD68" i="83"/>
  <c r="BD69" i="83"/>
  <c r="AN68" i="83"/>
  <c r="AN69" i="83"/>
  <c r="X68" i="83"/>
  <c r="X69" i="83"/>
  <c r="CM55" i="83"/>
  <c r="H67" i="83"/>
  <c r="AW68" i="83"/>
  <c r="AW69" i="83"/>
  <c r="CI68" i="83"/>
  <c r="CI69" i="83"/>
  <c r="BS69" i="83"/>
  <c r="BS68" i="83"/>
  <c r="BC68" i="83"/>
  <c r="BC69" i="83"/>
  <c r="AM68" i="83"/>
  <c r="AM69" i="83"/>
  <c r="W68" i="83"/>
  <c r="W69" i="83"/>
  <c r="CC68" i="83"/>
  <c r="CC69" i="83"/>
  <c r="AK68" i="83"/>
  <c r="AK69" i="83"/>
  <c r="CH69" i="83"/>
  <c r="CH68" i="83"/>
  <c r="BR68" i="83"/>
  <c r="BR69" i="83"/>
  <c r="BB68" i="83"/>
  <c r="BB69" i="83"/>
  <c r="AL68" i="83"/>
  <c r="AL69" i="83"/>
  <c r="V69" i="83"/>
  <c r="V68" i="83"/>
  <c r="Q68" i="83"/>
  <c r="Q69" i="83"/>
  <c r="AR68" i="83"/>
  <c r="AR69" i="83"/>
  <c r="BI68" i="83"/>
  <c r="BI69" i="83"/>
  <c r="BG68" i="83"/>
  <c r="BG69" i="83"/>
  <c r="K68" i="83"/>
  <c r="K69" i="83"/>
  <c r="BV68" i="83"/>
  <c r="BV69" i="83"/>
  <c r="J68" i="83"/>
  <c r="J69" i="83"/>
  <c r="BY68" i="83"/>
  <c r="BY69" i="83"/>
  <c r="AC68" i="83"/>
  <c r="AC69" i="83"/>
  <c r="CF68" i="83"/>
  <c r="CF69" i="83"/>
  <c r="BP68" i="83"/>
  <c r="BP69" i="83"/>
  <c r="AZ68" i="83"/>
  <c r="AZ69" i="83"/>
  <c r="AJ68" i="83"/>
  <c r="AJ69" i="83"/>
  <c r="T68" i="83"/>
  <c r="T69" i="83"/>
  <c r="CG68" i="83"/>
  <c r="CG69" i="83"/>
  <c r="AG68" i="83"/>
  <c r="AG69" i="83"/>
  <c r="CE68" i="83"/>
  <c r="CE69" i="83"/>
  <c r="BO68" i="83"/>
  <c r="BO69" i="83"/>
  <c r="AY68" i="83"/>
  <c r="AY69" i="83"/>
  <c r="AI68" i="83"/>
  <c r="AI69" i="83"/>
  <c r="S68" i="83"/>
  <c r="S69" i="83"/>
  <c r="BQ69" i="83"/>
  <c r="BQ68" i="83"/>
  <c r="Y68" i="83"/>
  <c r="Y69" i="83"/>
  <c r="CD69" i="83"/>
  <c r="CD68" i="83"/>
  <c r="BN68" i="83"/>
  <c r="BN69" i="83"/>
  <c r="AX68" i="83"/>
  <c r="AX69" i="83"/>
  <c r="AH68" i="83"/>
  <c r="AH69" i="83"/>
  <c r="R68" i="83"/>
  <c r="R69" i="83"/>
  <c r="BX68" i="83"/>
  <c r="BX69" i="83"/>
  <c r="AB69" i="83"/>
  <c r="AB68" i="83"/>
  <c r="BW68" i="83"/>
  <c r="BW69" i="83"/>
  <c r="AA69" i="83"/>
  <c r="AA68" i="83"/>
  <c r="CL68" i="83"/>
  <c r="CL69" i="83"/>
  <c r="BF69" i="83"/>
  <c r="BF68" i="83"/>
  <c r="Z69" i="83"/>
  <c r="Z68" i="83"/>
  <c r="BM68" i="83"/>
  <c r="BM69" i="83"/>
  <c r="U68" i="83"/>
  <c r="U69" i="83"/>
  <c r="CB68" i="83"/>
  <c r="CB69" i="83"/>
  <c r="BL69" i="83"/>
  <c r="BL68" i="83"/>
  <c r="AV69" i="83"/>
  <c r="AV68" i="83"/>
  <c r="AF68" i="83"/>
  <c r="AF69" i="83"/>
  <c r="P68" i="83"/>
  <c r="P69" i="83"/>
  <c r="BU68" i="83"/>
  <c r="BU69" i="83"/>
  <c r="I68" i="83"/>
  <c r="I69" i="83"/>
  <c r="CA68" i="83"/>
  <c r="CA69" i="83"/>
  <c r="BK68" i="83"/>
  <c r="BK69" i="83"/>
  <c r="AU68" i="83"/>
  <c r="AU69" i="83"/>
  <c r="AE68" i="83"/>
  <c r="AE69" i="83"/>
  <c r="O68" i="83"/>
  <c r="O69" i="83"/>
  <c r="BE68" i="83"/>
  <c r="BE69" i="83"/>
  <c r="M69" i="83"/>
  <c r="M68" i="83"/>
  <c r="BZ68" i="83"/>
  <c r="BZ69" i="83"/>
  <c r="BJ68" i="83"/>
  <c r="BJ69" i="83"/>
  <c r="AT68" i="83"/>
  <c r="AT69" i="83"/>
  <c r="AD69" i="83"/>
  <c r="AD68" i="83"/>
  <c r="N69" i="83"/>
  <c r="N68" i="83"/>
  <c r="H68" i="83" l="1"/>
  <c r="CM68" i="83" s="1"/>
  <c r="C2" i="86" s="1"/>
  <c r="H69" i="83"/>
  <c r="CM69" i="83" s="1"/>
  <c r="C3" i="86" s="1"/>
  <c r="C26" i="86" s="1"/>
  <c r="C25" i="86" s="1"/>
  <c r="C33" i="86" s="1"/>
  <c r="CM67" i="83"/>
  <c r="C16" i="86" l="1"/>
  <c r="C15" i="86" s="1"/>
  <c r="C23" i="86" s="1"/>
  <c r="C6" i="86"/>
  <c r="C5" i="86" s="1"/>
  <c r="C13" i="86" s="1"/>
  <c r="H19" i="94" l="1"/>
  <c r="H20" i="94" l="1"/>
  <c r="B6" i="91" s="1"/>
  <c r="C12" i="92"/>
  <c r="H49" i="94"/>
  <c r="H50" i="94" s="1"/>
  <c r="H22" i="94"/>
  <c r="H45" i="94"/>
  <c r="C8" i="93" l="1"/>
  <c r="G12" i="92"/>
  <c r="D12" i="92"/>
  <c r="D6" i="92" s="1"/>
  <c r="D13" i="92" s="1"/>
  <c r="D15" i="92" s="1"/>
  <c r="D16" i="92" s="1"/>
  <c r="D17" i="92" s="1"/>
  <c r="C22" i="92" s="1"/>
  <c r="E12" i="92"/>
  <c r="E6" i="92" s="1"/>
  <c r="E13" i="92" s="1"/>
  <c r="E15" i="92" s="1"/>
  <c r="E16" i="92" s="1"/>
  <c r="E17" i="92" s="1"/>
  <c r="C23" i="92" s="1"/>
  <c r="F12" i="92"/>
  <c r="F6" i="92" s="1"/>
  <c r="F13" i="92" s="1"/>
  <c r="F15" i="92" s="1"/>
  <c r="F16" i="92" s="1"/>
  <c r="F17" i="92" s="1"/>
  <c r="C24" i="92" s="1"/>
  <c r="C6" i="92"/>
  <c r="B13" i="91"/>
  <c r="B15" i="91" s="1"/>
  <c r="B16" i="91" s="1"/>
  <c r="B17" i="91" s="1"/>
  <c r="H23" i="94"/>
  <c r="H24" i="94"/>
  <c r="H25" i="94"/>
  <c r="G6" i="92" l="1"/>
  <c r="G13" i="92" s="1"/>
  <c r="G15" i="92" s="1"/>
  <c r="G16" i="92" s="1"/>
  <c r="G17" i="92" s="1"/>
  <c r="C25" i="92" s="1"/>
  <c r="C13" i="92"/>
  <c r="C15" i="92" s="1"/>
  <c r="C16" i="92" s="1"/>
  <c r="C17" i="92" s="1"/>
  <c r="C21" i="92" s="1"/>
  <c r="D24" i="92" s="1"/>
  <c r="E8" i="93"/>
  <c r="C9" i="93"/>
  <c r="C10" i="93" s="1"/>
  <c r="C16" i="93" s="1"/>
  <c r="C20" i="93" s="1"/>
  <c r="H30" i="94"/>
  <c r="G34" i="94"/>
  <c r="H29" i="94"/>
  <c r="H28" i="94"/>
  <c r="G33" i="94" s="1"/>
  <c r="D23" i="92" l="1"/>
  <c r="D25" i="92"/>
  <c r="D22" i="92"/>
  <c r="F8" i="93"/>
  <c r="E9" i="93"/>
  <c r="E10" i="93" s="1"/>
  <c r="E16" i="93" s="1"/>
  <c r="C22" i="93" s="1"/>
  <c r="I30" i="94"/>
  <c r="H39" i="94"/>
  <c r="H41" i="94" s="1"/>
  <c r="H38" i="94"/>
  <c r="H40" i="94" s="1"/>
  <c r="G8" i="93" l="1"/>
  <c r="F9" i="93"/>
  <c r="F10" i="93" s="1"/>
  <c r="F16" i="93" s="1"/>
  <c r="C23" i="93" s="1"/>
  <c r="I39" i="94"/>
  <c r="I41" i="94" s="1"/>
  <c r="I38" i="94"/>
  <c r="I40" i="94" s="1"/>
  <c r="J30" i="94"/>
  <c r="H8" i="93" l="1"/>
  <c r="H9" i="93" s="1"/>
  <c r="H10" i="93" s="1"/>
  <c r="H16" i="93" s="1"/>
  <c r="C25" i="93" s="1"/>
  <c r="G9" i="93"/>
  <c r="G10" i="93" s="1"/>
  <c r="G16" i="93" s="1"/>
  <c r="C24" i="93" s="1"/>
  <c r="J39" i="94"/>
  <c r="J41" i="94" s="1"/>
  <c r="K30" i="94"/>
  <c r="J38" i="94"/>
  <c r="J40" i="94" s="1"/>
  <c r="L30" i="94" l="1"/>
  <c r="K39" i="94"/>
  <c r="K41" i="94" s="1"/>
  <c r="K38" i="94"/>
  <c r="K40" i="94" s="1"/>
  <c r="L38" i="94" l="1"/>
  <c r="L40" i="94" s="1"/>
  <c r="L39" i="94"/>
  <c r="L41" i="94" s="1"/>
  <c r="M30" i="94"/>
  <c r="M38" i="94" l="1"/>
  <c r="M40" i="94" s="1"/>
  <c r="M39" i="94"/>
  <c r="M41" i="94" s="1"/>
  <c r="N30" i="94"/>
  <c r="N39" i="94" l="1"/>
  <c r="N41" i="94" s="1"/>
  <c r="O30" i="94"/>
  <c r="N38" i="94"/>
  <c r="N40" i="94" s="1"/>
  <c r="P30" i="94" l="1"/>
  <c r="O38" i="94"/>
  <c r="O40" i="94" s="1"/>
  <c r="O39" i="94"/>
  <c r="O41" i="94" s="1"/>
  <c r="P39" i="94" l="1"/>
  <c r="P41" i="94" s="1"/>
  <c r="P38" i="94"/>
  <c r="P40" i="94" s="1"/>
  <c r="Q30" i="94"/>
  <c r="Q39" i="94" l="1"/>
  <c r="Q41" i="94" s="1"/>
  <c r="Q38" i="94"/>
  <c r="Q40" i="94" s="1"/>
  <c r="R30" i="94"/>
  <c r="R39" i="94" l="1"/>
  <c r="R41" i="94" s="1"/>
  <c r="S30" i="94"/>
  <c r="R38" i="94"/>
  <c r="R40" i="94" s="1"/>
  <c r="S39" i="94" l="1"/>
  <c r="S41" i="94" s="1"/>
  <c r="S38" i="94"/>
  <c r="S40" i="94" s="1"/>
  <c r="T30" i="94"/>
  <c r="T38" i="94" l="1"/>
  <c r="T40" i="94" s="1"/>
  <c r="T39" i="94"/>
  <c r="T41" i="94" s="1"/>
  <c r="U30" i="94"/>
  <c r="U39" i="94" l="1"/>
  <c r="U41" i="94" s="1"/>
  <c r="V30" i="94"/>
  <c r="U38" i="94"/>
  <c r="U40" i="94" s="1"/>
  <c r="V39" i="94" l="1"/>
  <c r="V41" i="94" s="1"/>
  <c r="W30" i="94"/>
  <c r="V38" i="94"/>
  <c r="V40" i="94" s="1"/>
  <c r="X30" i="94" l="1"/>
  <c r="W38" i="94"/>
  <c r="W40" i="94" s="1"/>
  <c r="W39" i="94"/>
  <c r="W41" i="94" s="1"/>
  <c r="X39" i="94" l="1"/>
  <c r="X41" i="94" s="1"/>
  <c r="X38" i="94"/>
  <c r="X40" i="94" s="1"/>
  <c r="Y30" i="94"/>
  <c r="Y39" i="94" l="1"/>
  <c r="Y41" i="94" s="1"/>
  <c r="Z30" i="94"/>
  <c r="Y38" i="94"/>
  <c r="Y40" i="94" s="1"/>
  <c r="Z38" i="94" l="1"/>
  <c r="Z40" i="94" s="1"/>
  <c r="G35" i="94" s="1"/>
  <c r="Z39" i="94"/>
  <c r="Z41" i="94" s="1"/>
  <c r="G36" i="94" s="1"/>
  <c r="E11" i="98" s="1"/>
  <c r="C10" i="98" s="1"/>
  <c r="E10" i="98" l="1"/>
  <c r="C11" i="9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0C19FC-2878-4D06-A72C-2F897937F4DD}"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<sst xmlns="http://schemas.openxmlformats.org/spreadsheetml/2006/main" count="2818" uniqueCount="662">
  <si>
    <t>Propane</t>
  </si>
  <si>
    <t>Naphtha</t>
  </si>
  <si>
    <t>Propylene</t>
  </si>
  <si>
    <t>Benzene</t>
  </si>
  <si>
    <t>Product</t>
  </si>
  <si>
    <t>C2</t>
  </si>
  <si>
    <t>C3</t>
  </si>
  <si>
    <t>C4</t>
  </si>
  <si>
    <t>CBFS</t>
  </si>
  <si>
    <t>Hydrogen</t>
  </si>
  <si>
    <t>C9+ Fraction</t>
  </si>
  <si>
    <t>MANUFACTURING COST</t>
  </si>
  <si>
    <t xml:space="preserve">Raw materials </t>
  </si>
  <si>
    <t>-</t>
  </si>
  <si>
    <t>Catalyst &amp; Chemicals</t>
  </si>
  <si>
    <t>Labour</t>
  </si>
  <si>
    <t>Salaries &amp; Wages (calculated)</t>
  </si>
  <si>
    <t>Variable Overheads</t>
  </si>
  <si>
    <t>Packaging Cost (calculated)</t>
  </si>
  <si>
    <t xml:space="preserve">Utilities (calculated) </t>
  </si>
  <si>
    <t>Fixed Overheads</t>
  </si>
  <si>
    <t>Selling Overheads</t>
  </si>
  <si>
    <t>Total  Production Cost</t>
  </si>
  <si>
    <t>D3 + D16</t>
  </si>
  <si>
    <t>Description</t>
  </si>
  <si>
    <t>Operating Period</t>
  </si>
  <si>
    <t>Total Capacity</t>
  </si>
  <si>
    <t>Operating Revenue</t>
  </si>
  <si>
    <t xml:space="preserve">Raw Material </t>
  </si>
  <si>
    <t xml:space="preserve">Labour </t>
  </si>
  <si>
    <t>Total Operating Cost</t>
  </si>
  <si>
    <t>Depreciation</t>
  </si>
  <si>
    <t>Net Cash Flow</t>
  </si>
  <si>
    <t>Cost of Capital (10%)</t>
  </si>
  <si>
    <t>Discounted Cash Flow</t>
  </si>
  <si>
    <t>Undiscounted Cash Flow</t>
  </si>
  <si>
    <t>NPV</t>
  </si>
  <si>
    <t>IRR</t>
  </si>
  <si>
    <t>*Accounts Receivables will be taken as of 60 Days.</t>
  </si>
  <si>
    <t>*Accounts Payables will be taken as of 60 Days.</t>
  </si>
  <si>
    <t>*Inentory will be taken as of 30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</si>
  <si>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</si>
  <si>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</si>
  <si>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</si>
  <si>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</si>
  <si>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</si>
  <si>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</si>
  <si>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</si>
  <si>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</si>
  <si>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</si>
  <si>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</si>
  <si>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</si>
  <si>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</si>
  <si>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</si>
  <si>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</si>
  <si>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</si>
  <si>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</si>
  <si>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</si>
  <si>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</si>
  <si>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</si>
  <si>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</si>
  <si>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</si>
  <si>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</si>
  <si>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</si>
  <si>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</si>
  <si>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</si>
  <si>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</si>
  <si>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</si>
  <si>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</si>
  <si>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</si>
  <si>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</si>
  <si>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</si>
  <si>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</si>
  <si>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</si>
  <si>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100 % Installation in Ist year of production</t>
  </si>
  <si>
    <t>* Capacity will be Installed in one Phase</t>
  </si>
  <si>
    <t xml:space="preserve">Annual Qty </t>
  </si>
  <si>
    <t xml:space="preserve">Unit Rate </t>
  </si>
  <si>
    <t>Amount</t>
  </si>
  <si>
    <t>Tonne</t>
  </si>
  <si>
    <t>VARIABLE COST</t>
  </si>
  <si>
    <t>II</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</si>
  <si>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</si>
  <si>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</si>
  <si>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</si>
  <si>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</si>
  <si>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</si>
  <si>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</si>
  <si>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</si>
  <si>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</si>
  <si>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</si>
  <si>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</si>
  <si>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</si>
  <si>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</si>
  <si>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</si>
  <si>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</si>
  <si>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</si>
  <si>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</si>
  <si>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</si>
  <si>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</si>
  <si>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</si>
  <si>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</si>
  <si>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</si>
  <si>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</si>
  <si>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</si>
  <si>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EDC</t>
  </si>
  <si>
    <t>Utilities</t>
  </si>
  <si>
    <t>Operating Cost</t>
  </si>
  <si>
    <t>Scenario 4</t>
  </si>
  <si>
    <t>CTC Break-up(Lacs)</t>
  </si>
  <si>
    <t>Total (Cr.)</t>
  </si>
  <si>
    <t>Heat Exchangers</t>
  </si>
  <si>
    <t>Flash Tanks</t>
  </si>
  <si>
    <t xml:space="preserve">Carbon Adsorption Column </t>
  </si>
  <si>
    <t>Absorption Column</t>
  </si>
  <si>
    <t>Scrubbing Column</t>
  </si>
  <si>
    <t>No</t>
  </si>
  <si>
    <t>S.No.</t>
  </si>
  <si>
    <t>INR Crore</t>
  </si>
  <si>
    <t>Regeneration Unit</t>
  </si>
  <si>
    <t>Distillation Towers</t>
  </si>
  <si>
    <t>Storage Tank (VCM Spherical)</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</si>
  <si>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</si>
  <si>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</si>
  <si>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</si>
  <si>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</si>
  <si>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9. The product warehouse has been sized for 30 days production of PVC resin</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</si>
  <si>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</si>
  <si>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</si>
  <si>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</si>
  <si>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</si>
  <si>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</si>
  <si>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</si>
  <si>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</si>
  <si>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 xml:space="preserve"> C9+   </t>
  </si>
  <si>
    <t xml:space="preserve"> CBFS </t>
  </si>
  <si>
    <t xml:space="preserve"> Hydrogenated Pygas (HPG) </t>
  </si>
  <si>
    <t xml:space="preserve">Benzene </t>
  </si>
  <si>
    <t xml:space="preserve">Delivered main equipment (includes auxiliary equipment) </t>
  </si>
  <si>
    <t xml:space="preserve">Chlorine </t>
  </si>
  <si>
    <t>Oxygen</t>
  </si>
  <si>
    <t>Steam</t>
  </si>
  <si>
    <t>INR / Tonne</t>
  </si>
  <si>
    <t>RPG</t>
  </si>
  <si>
    <t>Total Fixed Cost</t>
  </si>
  <si>
    <t>Ethylene</t>
  </si>
  <si>
    <t>Unit</t>
  </si>
  <si>
    <t>MT</t>
  </si>
  <si>
    <t>Ethane</t>
  </si>
  <si>
    <t>Butane</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</si>
  <si>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</si>
  <si>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</si>
  <si>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</si>
  <si>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</si>
  <si>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</si>
  <si>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</si>
  <si>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</si>
  <si>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</si>
  <si>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</si>
  <si>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</si>
  <si>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</si>
  <si>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</si>
  <si>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</si>
  <si>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</si>
  <si>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</si>
  <si>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</si>
  <si>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</si>
  <si>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</si>
  <si>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</si>
  <si>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</si>
  <si>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</si>
  <si>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</si>
  <si>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</si>
  <si>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</si>
  <si>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Hydrogen MT Ethane Component for costing</t>
  </si>
  <si>
    <t>Hydrogen MT Propane Component for costing</t>
  </si>
  <si>
    <t>Hydrogen MT Butane Component for costing</t>
  </si>
  <si>
    <t>Hydrogen MT Naphtha Component for costing</t>
  </si>
  <si>
    <t>Hydrogen MT Export to polymers for credit</t>
  </si>
  <si>
    <t>Nitrogen-Rs./NM3 (Considered for Oxygen cost of Production)</t>
  </si>
  <si>
    <t>Condensate Cost  INR/M3</t>
  </si>
  <si>
    <t>Other Byproducts Benefit-Fuel Gas, Hydrogen and Condensate</t>
  </si>
  <si>
    <t>PVC Suspension  rigid grade K67 Ex Mumbai (India)</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</si>
  <si>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</si>
  <si>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</si>
  <si>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</si>
  <si>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</si>
  <si>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</si>
  <si>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</si>
  <si>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</si>
  <si>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</si>
  <si>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</si>
  <si>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</si>
  <si>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</si>
  <si>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Price (INR / Tonne)</t>
  </si>
  <si>
    <t>Annual Production</t>
  </si>
  <si>
    <t>Value in (INR Crore)</t>
  </si>
  <si>
    <t>Product &amp; Co-Product</t>
  </si>
  <si>
    <t>Catalyst and Chemicals</t>
  </si>
  <si>
    <t>Repair &amp; Maintenance (2.5 Pecent of Capex)</t>
  </si>
  <si>
    <t>Ethane Price</t>
  </si>
  <si>
    <t>Incremental Margin</t>
  </si>
  <si>
    <t>Margin</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</si>
  <si>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</si>
  <si>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</si>
  <si>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</si>
  <si>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</si>
  <si>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</si>
  <si>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</si>
  <si>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</si>
  <si>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</si>
  <si>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</si>
  <si>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</si>
  <si>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</si>
  <si>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</si>
  <si>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</si>
  <si>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</si>
  <si>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</si>
  <si>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</si>
  <si>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</si>
  <si>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</si>
  <si>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</si>
  <si>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</si>
  <si>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</si>
  <si>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</si>
  <si>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</si>
  <si>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</si>
  <si>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</si>
  <si>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</si>
  <si>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</si>
  <si>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</si>
  <si>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</si>
  <si>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</si>
  <si>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</si>
  <si>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</si>
  <si>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</si>
  <si>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ISBL</t>
  </si>
  <si>
    <t>OSBL</t>
  </si>
  <si>
    <t>Overheads</t>
  </si>
  <si>
    <t>Capex (In INR Crore)</t>
  </si>
  <si>
    <t>Total Investment (In INR Crore)</t>
  </si>
  <si>
    <t xml:space="preserve">All Figures are in INR Crore </t>
  </si>
  <si>
    <t>Expected consumption figures for raw materials and utilities per 1,000 kg VCM product</t>
  </si>
  <si>
    <t>Ethylene (100 %)            459 kg</t>
  </si>
  <si>
    <t>Chlorine (100 %)             575 kg</t>
  </si>
  <si>
    <t>Fuel gas                            2,700,000 kJ</t>
  </si>
  <si>
    <t>Combined figure for PVC and VCM plant: 435 kg ....(Energy will be exported to PVC)</t>
  </si>
  <si>
    <t>Steam                               250 kg</t>
  </si>
  <si>
    <t>Oxygen (100 %)              139 kg</t>
  </si>
  <si>
    <t xml:space="preserve">PVC </t>
  </si>
  <si>
    <t>Plant &amp; Machinery</t>
  </si>
  <si>
    <t>Percentage Share</t>
  </si>
  <si>
    <t>Total Investment  (INR Crore)</t>
  </si>
  <si>
    <t>The daily requirement of natural gas, depending on load, is between 4-4.5 million standard cubic meters per day.</t>
  </si>
  <si>
    <t>The total water requirement of the plant, depending on the load, is 3 million gallons per day</t>
  </si>
  <si>
    <t>Incineration Unit (Continuous)</t>
  </si>
  <si>
    <t>Change with base case</t>
  </si>
  <si>
    <t>Capacity Utilization</t>
  </si>
  <si>
    <t>Rs Crore</t>
  </si>
  <si>
    <t>1st Year</t>
  </si>
  <si>
    <t>2nd Year</t>
  </si>
  <si>
    <t>3rd Year</t>
  </si>
  <si>
    <t>4th Year</t>
  </si>
  <si>
    <t>5th Year</t>
  </si>
  <si>
    <t>6th Year</t>
  </si>
  <si>
    <t>7th Year</t>
  </si>
  <si>
    <t>8th Year</t>
  </si>
  <si>
    <t>9th Year</t>
  </si>
  <si>
    <t>10th Year</t>
  </si>
  <si>
    <t>Income Tax Provision</t>
  </si>
  <si>
    <t>Profit After Tax</t>
  </si>
  <si>
    <t xml:space="preserve">     </t>
  </si>
  <si>
    <t>(Rs. Crore)</t>
  </si>
  <si>
    <t>(A) Gross Revenue</t>
  </si>
  <si>
    <t>(B) Variable Expenses</t>
  </si>
  <si>
    <t>Total Variable Expenses</t>
  </si>
  <si>
    <t>(C) Contribution</t>
  </si>
  <si>
    <t>(D) Fixed Expenses</t>
  </si>
  <si>
    <t>(E) Break Even Point</t>
  </si>
  <si>
    <t>Debt Service Coverage Ratio (DSCR)</t>
  </si>
  <si>
    <t>(Rs Crore)</t>
  </si>
  <si>
    <t>Particulars</t>
  </si>
  <si>
    <t>(a) Profit After Tax</t>
  </si>
  <si>
    <t>(c) Add Back Interest on Term Loan</t>
  </si>
  <si>
    <t>Average DSCR (for Loan Period)</t>
  </si>
  <si>
    <t>Particular</t>
  </si>
  <si>
    <t xml:space="preserve">Share </t>
  </si>
  <si>
    <t>Value (Rs. Crore)</t>
  </si>
  <si>
    <t>Equity Share Capital</t>
  </si>
  <si>
    <t>Term Loan</t>
  </si>
  <si>
    <t>Rate of Interest on Term Loan</t>
  </si>
  <si>
    <t xml:space="preserve">                                                                                                                                                                                                                                                                                                                                                                                             </t>
  </si>
  <si>
    <t>Year</t>
  </si>
  <si>
    <t>Term Loan Amount</t>
  </si>
  <si>
    <t>Repayment (Half Yearly)</t>
  </si>
  <si>
    <t xml:space="preserve">Total Repayment during the year </t>
  </si>
  <si>
    <t>Interest (Half Yearly)</t>
  </si>
  <si>
    <t>Total Interest Payment during the year</t>
  </si>
  <si>
    <t>Gross Revenue</t>
  </si>
  <si>
    <t>Details</t>
  </si>
  <si>
    <t>Assumptions</t>
  </si>
  <si>
    <t>Source</t>
  </si>
  <si>
    <t>Feed Price</t>
  </si>
  <si>
    <t>Weighted Average</t>
  </si>
  <si>
    <t xml:space="preserve">Butane </t>
  </si>
  <si>
    <t>Actual</t>
  </si>
  <si>
    <t>MMBTU</t>
  </si>
  <si>
    <t>LNG</t>
  </si>
  <si>
    <t>Chemical Products' Price</t>
  </si>
  <si>
    <t>Derived</t>
  </si>
  <si>
    <t>Tonnes</t>
  </si>
  <si>
    <t>OPAL</t>
  </si>
  <si>
    <t>Production based on DFCU Yields</t>
  </si>
  <si>
    <t>Yield Data by OPaL</t>
  </si>
  <si>
    <t>By-Products</t>
  </si>
  <si>
    <t>Hydrogen Cost of Production</t>
  </si>
  <si>
    <t>Power INR/KWh</t>
  </si>
  <si>
    <t>Steam INR/MT</t>
  </si>
  <si>
    <t>DM Water INR/MT</t>
  </si>
  <si>
    <t>MWh</t>
  </si>
  <si>
    <t>NM3</t>
  </si>
  <si>
    <t xml:space="preserve">Compressed Air </t>
  </si>
  <si>
    <t>Boiler Feed Water</t>
  </si>
  <si>
    <t>INR</t>
  </si>
  <si>
    <t>Total Utilities Cost</t>
  </si>
  <si>
    <t>Catchem</t>
  </si>
  <si>
    <t>For Ethylene Production</t>
  </si>
  <si>
    <t>For 1,3 Butadiene Production</t>
  </si>
  <si>
    <t>Total Ethylene Produced</t>
  </si>
  <si>
    <t>Feed Cost</t>
  </si>
  <si>
    <t>Feed Ethylene</t>
  </si>
  <si>
    <t>Ethylene Feed Cost</t>
  </si>
  <si>
    <t>Feed Propylene</t>
  </si>
  <si>
    <t>Propylene Feed Cost</t>
  </si>
  <si>
    <t>Feed Yields</t>
  </si>
  <si>
    <t>Ethylene Cost Factor</t>
  </si>
  <si>
    <t>Propylene Cost Factor</t>
  </si>
  <si>
    <t>Feed Benefit</t>
  </si>
  <si>
    <t>By Product Benefit</t>
  </si>
  <si>
    <t>Feed Condensate</t>
  </si>
  <si>
    <t>Finished Product Prices</t>
  </si>
  <si>
    <t>INR/Tonne</t>
  </si>
  <si>
    <t>TechSci Research</t>
  </si>
  <si>
    <t>Average Revenue Per MT for PVC considered</t>
  </si>
  <si>
    <t>Ethylene Cost of Production based on By Products</t>
  </si>
  <si>
    <t>Propylene Cost of Production based on By Products</t>
  </si>
  <si>
    <t>Project Phase in Years</t>
  </si>
  <si>
    <t>Maintenance and repairs (1.5% of fixed-capital investment)(Capex)</t>
  </si>
  <si>
    <t>OPaL &amp; ChemAnalyst</t>
  </si>
  <si>
    <t xml:space="preserve"> (95% OF EX-Mumbai Price Taken)</t>
  </si>
  <si>
    <t>Repair &amp; Maintenance (1.5 Percent of Capex)</t>
  </si>
  <si>
    <t>Capacity for 500 KTPA PVC Unit with external EDC / VCM Facility</t>
  </si>
  <si>
    <t>Equipment List PVC 350 KTPA</t>
  </si>
  <si>
    <t>Delivered main equipment (includes auxiliary equipment) (Considered EDC / VCM Import Facility)</t>
  </si>
  <si>
    <t>Cooling Water Facility</t>
  </si>
  <si>
    <t>Annual Sales Revenue @ 100 Percent Capacity Utilization : OPTION 1</t>
  </si>
  <si>
    <t>Annual Sales Revenue @ 100 Percent Capacity Utilization : OPTION 2</t>
  </si>
  <si>
    <t>Flare System</t>
  </si>
  <si>
    <t>Project Sensitivity</t>
  </si>
  <si>
    <t>Break-Even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</si>
  <si>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</si>
  <si>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</si>
  <si>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</si>
  <si>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</si>
  <si>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Project Sensitivity Analysis</t>
  </si>
  <si>
    <t>Total Opex</t>
  </si>
  <si>
    <t>Total (a+b)</t>
  </si>
  <si>
    <t>(c) Interest on Term Loan</t>
  </si>
  <si>
    <t>(d) Term Loan Instalment</t>
  </si>
  <si>
    <t>Total (c+d)</t>
  </si>
  <si>
    <t>DSCR</t>
  </si>
  <si>
    <t xml:space="preserve">Capacity for 350 KTPA PVC Unit </t>
  </si>
  <si>
    <t>12.The report basis, financial analyses and recommendations are based on conventional mode of execution.</t>
  </si>
  <si>
    <t>2. Capacity Build Up = 1sr Year : 70 % 2nd Year : 90% and 3rd Year : 100%</t>
  </si>
  <si>
    <t xml:space="preserve">      - Accounts Receivables will be taken as of 60 Days.</t>
  </si>
  <si>
    <t xml:space="preserve">      - Accounts Payables will be taken as of 60 Days.</t>
  </si>
  <si>
    <t xml:space="preserve">      - Inventory will be taken as of 30 Days.</t>
  </si>
  <si>
    <t>13. Feed and Ethylene prices as provided by OPaL</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</si>
  <si>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</si>
  <si>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</si>
  <si>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</si>
  <si>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</si>
  <si>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</si>
  <si>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19. Operating Revenue will be  bifurcated between :-</t>
  </si>
  <si>
    <t>Cooling Water Facility (3000 cubic meter * 2)</t>
  </si>
  <si>
    <t>Open Jetty Facility for Ethylene, EDC and VCM Import</t>
  </si>
  <si>
    <t>Research and development costs</t>
  </si>
  <si>
    <t>Per MT Margin</t>
  </si>
  <si>
    <t>Margin %</t>
  </si>
  <si>
    <t>Selling Price per MT of PVC</t>
  </si>
  <si>
    <t>Cost per MT of PVC</t>
  </si>
  <si>
    <t>Unit Margin</t>
  </si>
  <si>
    <t>Gross Margin (EBITDA/PBITDA)</t>
  </si>
  <si>
    <t xml:space="preserve">Research and development costs </t>
  </si>
  <si>
    <t>Basis</t>
  </si>
  <si>
    <t>Inflation (after adjustment of dollar appreciation)</t>
  </si>
  <si>
    <t>Payback Period after project completion (Simple)</t>
  </si>
  <si>
    <t>Payback Period after project completion (Discounted)</t>
  </si>
  <si>
    <t>Simple</t>
  </si>
  <si>
    <t>Discounted</t>
  </si>
  <si>
    <t>Simple Factor</t>
  </si>
  <si>
    <t>Discounted Factor</t>
  </si>
  <si>
    <t>84 Months Average</t>
  </si>
  <si>
    <t xml:space="preserve"> 1,3 Butadiene </t>
  </si>
  <si>
    <t>LLDPE OPaL Price</t>
  </si>
  <si>
    <t>HDPE OPaL Price</t>
  </si>
  <si>
    <t>PP OPaL Price</t>
  </si>
  <si>
    <t>ASU Facility (Oxygen and Nitrogen Facility)</t>
  </si>
  <si>
    <t>Other OSBL Facilities, Chlorine Pipeline and Storage Facility, Slurry Tank, PVC Bagging Facility)</t>
  </si>
  <si>
    <t xml:space="preserve">1. Oxychlorination comprises of two identical units each with a capacity of 7,500 normal cubic meters per hour of oxygen and 7,500 normal cubic meters per hour of nitrogen. The two unit will be built on a piece of land covering an area of 1 hectare. </t>
  </si>
  <si>
    <t>2 PVC manufacturing includes both Suspension PVC and  Emulsion PVC type. Earlier one is batch process having 100 m3 reactors; later one is continuous process with 30 m3 reactor</t>
  </si>
  <si>
    <t>3. PVC material from finished product silo is measured and bagged into 25 kg /bag by quantitative automatic packaging machine. After packaging, the packed PVC will be transported to PVC warehouse by forklift.</t>
  </si>
  <si>
    <t>5. 8-10 inch pipeline will be employed for transfer o EDC / VCM from ship. Two mass flow meters one at Jetty end one at tank end will be provided for mass measurement and input to leak detection system. The motorized operated valve shall be provided at jetty for emergency shut down operation in case of leak.</t>
  </si>
  <si>
    <t>4.EDC consignment in the range of 5500 – 11000 m3 of pressurized vessel shall be unloaded from ship with the help of unloading pumps through one no of 8-inch marine unloading arm and shall be transferred to proposed storage bullets.</t>
  </si>
  <si>
    <t xml:space="preserve">20.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</si>
  <si>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</si>
  <si>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Tentative Requirement for 350 KTPA PVC Plant</t>
  </si>
  <si>
    <t xml:space="preserve">Unit </t>
  </si>
  <si>
    <t>Qunantity</t>
  </si>
  <si>
    <t>1. Ethylene Requirement</t>
  </si>
  <si>
    <t>2. Chlorine</t>
  </si>
  <si>
    <t>3. Oxygen Requirement</t>
  </si>
  <si>
    <t>4. VCM Plant</t>
  </si>
  <si>
    <t>5. PVC Plant</t>
  </si>
  <si>
    <t>6. PVC Bagging and PWH</t>
  </si>
  <si>
    <t>7. DM Plant for PVC</t>
  </si>
  <si>
    <t>8. EDC Tanks</t>
  </si>
  <si>
    <t>9. VCM Spheres</t>
  </si>
  <si>
    <t>10. EDC bottom / heavier to dispose Incinerator</t>
  </si>
  <si>
    <t>T/Hr</t>
  </si>
  <si>
    <t xml:space="preserve"> KT</t>
  </si>
  <si>
    <t>KT</t>
  </si>
  <si>
    <t xml:space="preserve">11. Chlorine pipeline from nearby industry </t>
  </si>
  <si>
    <t>KM</t>
  </si>
  <si>
    <t>5000 m3</t>
  </si>
  <si>
    <t>Cubic Meter / day</t>
  </si>
  <si>
    <t xml:space="preserve">10000 tonnes </t>
  </si>
  <si>
    <t>Distribution and selling costs (2.5% of sales value)</t>
  </si>
  <si>
    <t>Distribution and selling costs (2.5% of selling cost)</t>
  </si>
  <si>
    <t>Break Even Point (at optimum capacity utilization)</t>
  </si>
  <si>
    <t>Year of Operation</t>
  </si>
  <si>
    <t>Total  Cost of Sales</t>
  </si>
  <si>
    <t>Gross Profit</t>
  </si>
  <si>
    <t>Cumulative Cash Flow</t>
  </si>
  <si>
    <t>4. Contingency in capex = 5 %</t>
  </si>
  <si>
    <t>500 KTPA Unit - Break Even Point at Optimum Capacity Utilization (4th Year)</t>
  </si>
  <si>
    <t>350 KTPA Break Even Unit at Optimum Capacity Utilization (4th Year)</t>
  </si>
  <si>
    <t>Raw material and Catalyst &amp; Chemicals</t>
  </si>
  <si>
    <t>(-)Depreciation</t>
  </si>
  <si>
    <t>Profit Before Tax</t>
  </si>
  <si>
    <t>Projections of Performance, Profitability and Repayment : 350 KTPA Capacity</t>
  </si>
  <si>
    <t>Batch Reactors (6 * 120 m3)  and Continuous Reactor (3*30m3)</t>
  </si>
  <si>
    <t>Others including OSBL Facilities, Chlorine Pipeline and Storage Facility, Slurry Tank, PVC Bagging Facility</t>
  </si>
  <si>
    <t>c</t>
  </si>
  <si>
    <t>Net Balace</t>
  </si>
  <si>
    <t>Phenol</t>
  </si>
  <si>
    <t>Acetone</t>
  </si>
  <si>
    <t>This Scenario is for the captive production of the Cumene. Prices considered is for the 7 year average price of South Korea Market</t>
  </si>
  <si>
    <t>* Cost of Capital will be assumed as 10%</t>
  </si>
  <si>
    <t>*Amortization will be presumed to be in next 10 years on equal basis.</t>
  </si>
  <si>
    <t>* Operating Revenue will be  bifurcated between :-</t>
  </si>
  <si>
    <t>Year of operation</t>
  </si>
  <si>
    <t>Operating Rate</t>
  </si>
  <si>
    <t>Raw Material &amp; Catchem</t>
  </si>
  <si>
    <t xml:space="preserve">NPV </t>
  </si>
  <si>
    <t>Payback Period (Simple)</t>
  </si>
  <si>
    <t>Payback Period (Discounted)</t>
  </si>
  <si>
    <t>*Taxes rate will be assumed  as 30%</t>
  </si>
  <si>
    <t>100 % Installation in 1st year of production</t>
  </si>
  <si>
    <t>*Inventory will be taken as of 30 Days.</t>
  </si>
  <si>
    <t>Inflation
 (after adjustment of dollar appreciation)</t>
  </si>
  <si>
    <t>Interest on Term Loan</t>
  </si>
  <si>
    <t>Means of Finance (500 KTPA)</t>
  </si>
  <si>
    <t>Means of Finance (350 KTPA)</t>
  </si>
  <si>
    <t>Interest Calculation on Loan and Working Capital  (INR Crore) - 350 KTPA</t>
  </si>
  <si>
    <t>Interest Calculation on Loan and Working Capital  (INR Crore) - 500 KTPA</t>
  </si>
  <si>
    <t>Unit Margin PVC</t>
  </si>
  <si>
    <t xml:space="preserve">Selling Price per MT of Phenol </t>
  </si>
  <si>
    <t>Selling Price per MT of Acetone</t>
  </si>
  <si>
    <t>ITEM</t>
  </si>
  <si>
    <t>C</t>
  </si>
  <si>
    <t>C1</t>
  </si>
  <si>
    <t>Raw materials and Catchem</t>
  </si>
  <si>
    <t>D</t>
  </si>
  <si>
    <t>Research and development costs (1.5% of manufacturing cost)</t>
  </si>
  <si>
    <t>Cost per MT of Phenol &amp; Acetone</t>
  </si>
  <si>
    <t>Unit Margin Phenol &amp; Acetone</t>
  </si>
  <si>
    <t>Open Jetty Facility for EDC and VCM Import</t>
  </si>
  <si>
    <t>VCM</t>
  </si>
  <si>
    <t>Raw Material, Catalyst &amp; Chemicals</t>
  </si>
  <si>
    <t>Capacity for 350 KTPA PVC Plant using Captive Ethylene</t>
  </si>
  <si>
    <t>Profit After Tax (at optimum capacity utilization)</t>
  </si>
  <si>
    <t>Percentage Change</t>
  </si>
  <si>
    <t>Nil</t>
  </si>
  <si>
    <t>Capacity for 350 KTPA PVC Plant using Captive Ethylene : Break Even Point at Optimum Capacity Utilisation (4th Year)</t>
  </si>
  <si>
    <t xml:space="preserve">Capex (In INR Crore) </t>
  </si>
  <si>
    <t>OPaL Current Production</t>
  </si>
  <si>
    <t>Additional Requirement for PVC and Phenol Production</t>
  </si>
  <si>
    <t>Yield per MT of feed (Base Case)</t>
  </si>
  <si>
    <t>Production KT</t>
  </si>
  <si>
    <t>Change w.r.t Base case</t>
  </si>
  <si>
    <t>Percentage Change w.r.t. Base case</t>
  </si>
  <si>
    <t>Surplus (Deficit)</t>
  </si>
  <si>
    <t>Plant Overhead and Administrative Costs (7.5% of  10 + 15)</t>
  </si>
  <si>
    <t>Plant Overhead and Administrative Costs (7.5% of  33 + 38)</t>
  </si>
  <si>
    <t>Plant Overhead and Administrative Costs (7.5% of  52+ 58)</t>
  </si>
  <si>
    <t>Plant Overhead and Administrative Costs (7.5% of  74 + 78)</t>
  </si>
  <si>
    <t>Net revenue gain over basecase from existing Products</t>
  </si>
  <si>
    <t>Monthly Feed (Base Case@8000hrs Operations)**</t>
  </si>
  <si>
    <t>FEED PRICES</t>
  </si>
  <si>
    <t>Raw materials</t>
  </si>
  <si>
    <t>Cat-Chem+ additive</t>
  </si>
  <si>
    <t>Co-product/Byprodcut Credit</t>
  </si>
  <si>
    <t>Contribution Per MT INR</t>
  </si>
  <si>
    <t>Base Case</t>
  </si>
  <si>
    <t>Acetone - Contracted</t>
  </si>
  <si>
    <t>Average Revenue Considered for Acetone</t>
  </si>
  <si>
    <t>Phenol - Contracted</t>
  </si>
  <si>
    <t>Average Revenue Considered for Phenol</t>
  </si>
  <si>
    <t xml:space="preserve">7. Plant Air prices are considered same as instrument air price.
</t>
  </si>
  <si>
    <t>8. The utility requirement for all the configuration of the proposed complex assuming 100% captive generation was prepared and discussed with OPaL</t>
  </si>
  <si>
    <t xml:space="preserve">Cases Evaluated </t>
  </si>
  <si>
    <t>Option 1 : Capacity for 350 KTPA PVC Plant using Captive Ethylene</t>
  </si>
  <si>
    <t>Option 3 : Capacity for 500 KTPA  EDC / VCM to PVC Plant (EDC / VCM Outsourced)</t>
  </si>
  <si>
    <t>Option 2 : Capacity for 500 KTPA PVC Plant (350 KTPA from captive ethylene &amp; 150 KTPA EDC / VCM Outsourced)</t>
  </si>
  <si>
    <t>Option 4 : Combined Capacity for 350 KTPA PVC Resin and 200 KTPA Phenol + 123 KTPA Acetone Plant (Propane Furnance Additional)</t>
  </si>
  <si>
    <t>Capacity for 500 KTPA PVC Plant (350 KTPA from captive Ethylene and 150 KTPA EDC / VCM Outsourced)</t>
  </si>
  <si>
    <t>Capacity for 500 KTPA PVC Resin (EDC / VCM to PVC Plant (EDC / VCM Outsourced)</t>
  </si>
  <si>
    <t>Scenarios</t>
  </si>
  <si>
    <t>Option 2 : Capacity for 200 KTPA Phenol + 123 KTPA Acetone, (with available propylene and benzene)  (80 % phenol plant - DFCU operation ( base case ) considered for 8500 Hrs. operation)</t>
  </si>
  <si>
    <t>Quantity in Tonne</t>
  </si>
  <si>
    <t>Price / Kg (INR Per Tonne)</t>
  </si>
  <si>
    <t>Others</t>
  </si>
  <si>
    <t>Catalyst &amp; Chemical</t>
  </si>
  <si>
    <t>Caustic Soda</t>
  </si>
  <si>
    <t>Sulphuric Acid</t>
  </si>
  <si>
    <t>MSHP Catalyst</t>
  </si>
  <si>
    <t>Nickel Fixed Bed Catalyst</t>
  </si>
  <si>
    <t>Activated Carbon</t>
  </si>
  <si>
    <t>AMS Hydrogenation Catalyst</t>
  </si>
  <si>
    <t>ADSORBENT AZ-300 5X8 </t>
  </si>
  <si>
    <t>INR Per Tonne</t>
  </si>
  <si>
    <t>Capacity for 350 KTPA PVC Resin and 200 KTPA Phenol + 123 KTPA Acetone Current Price</t>
  </si>
  <si>
    <t>Projections of Performance, Profitability and Repayment : 350 KTPA Capacity Current Case</t>
  </si>
  <si>
    <t>350 KTPA Capacity Current Case : Break Even Point at Optimum Capacity Utilisation</t>
  </si>
  <si>
    <t>Project Sensitivity Analysis: Option 1 (350 KTPA Capacity)</t>
  </si>
  <si>
    <t>Means of Finance (PVC+Phenol)</t>
  </si>
  <si>
    <t>Interest Calculation on Loan and Working Capital  (INR Crore) - PVC+Phenol</t>
  </si>
  <si>
    <t>m</t>
  </si>
  <si>
    <t>Capex</t>
  </si>
  <si>
    <t>INR Cr</t>
  </si>
  <si>
    <t>Opex</t>
  </si>
  <si>
    <t>Annual COP</t>
  </si>
  <si>
    <t>Total Variable Cost</t>
  </si>
  <si>
    <t>Total Investment</t>
  </si>
  <si>
    <t>Payback (Yrs)</t>
  </si>
  <si>
    <t>Financials</t>
  </si>
  <si>
    <t>Scenario 1,2 &amp; 3</t>
  </si>
  <si>
    <t>Total Capital Investment</t>
  </si>
  <si>
    <t>Annual Cost of Production</t>
  </si>
  <si>
    <t xml:space="preserve"> Select Financial Year</t>
  </si>
  <si>
    <t>Projections of Performance, Profitability and Repayment : Option 4</t>
  </si>
  <si>
    <t xml:space="preserve">After Ethane Furnace Addition </t>
  </si>
  <si>
    <t>480 KTPA Ethane Import</t>
  </si>
  <si>
    <t>Quantity (KTPA)</t>
  </si>
  <si>
    <t>Additional 385 KTPA C3</t>
  </si>
  <si>
    <t>Ethane Furnace Addition</t>
  </si>
  <si>
    <t>Margin (%)</t>
  </si>
  <si>
    <t>Scenario 4 &amp; 5</t>
  </si>
  <si>
    <t>Net Margin Change for Existing Co-Products</t>
  </si>
  <si>
    <t>Ethylene for PVC MT</t>
  </si>
  <si>
    <t>Propylene For Phenol MT</t>
  </si>
  <si>
    <t>LLDPE (available ethylene) MT</t>
  </si>
  <si>
    <t>HDPE (available ethylene) MT</t>
  </si>
  <si>
    <t>PP (available propylene) MT</t>
  </si>
  <si>
    <t>Revenue (Co-Products) INR Cr.</t>
  </si>
  <si>
    <t>Net Revenue Change  INR Cr</t>
  </si>
  <si>
    <t>Ethylene Cost of Production based on Byproducts INR/MT</t>
  </si>
  <si>
    <t>Propylene Cost of Production based on Byproducts INR/MT</t>
  </si>
  <si>
    <t>LLDPE Cost of Production INR/MT</t>
  </si>
  <si>
    <t>HDPE  Cost of Production INR/MT</t>
  </si>
  <si>
    <t>PP Cost of Production INR/MT</t>
  </si>
  <si>
    <t>Additional 426 KT High Propane</t>
  </si>
  <si>
    <t>8. High Propane capex were provided by OPaL</t>
  </si>
  <si>
    <t>1.Propane Furnace  has INR 1164 Cr more revenue than Ethane furnace case when additional ethylene and Propylene are converted to Polyethylene and Polypropylene.
2.For 250 KTPA PE plant, the total capital investment is around 1000 INR Crore and for 120 KTPA PP plant it is not more than 500 INR Crore in case Propane Furnace is selected.
3.Propane is easier for procurement as feed compared to ethane.</t>
  </si>
  <si>
    <t xml:space="preserve">Propane Furnace Addition </t>
  </si>
  <si>
    <t xml:space="preserve">Scenario 4 &amp; 5 - </t>
  </si>
  <si>
    <t>PVC and Phenol Projects both included</t>
  </si>
  <si>
    <t>Scenario 4 &amp; 5-</t>
  </si>
  <si>
    <t>If OPaL does not go for PVC</t>
  </si>
  <si>
    <t>If OPaL does not go for Phenol</t>
  </si>
  <si>
    <t>If OPaL doesn't go for both PVC &amp; Phenol Projects</t>
  </si>
  <si>
    <t>Propane Furnace Addition</t>
  </si>
  <si>
    <t>CAPEX PVC OPTION 1</t>
  </si>
  <si>
    <t>CAPEX PHENOL OPTION 1</t>
  </si>
  <si>
    <t xml:space="preserve">Coproducts for Propane Furnace Addition: </t>
  </si>
  <si>
    <t xml:space="preserve">Coproducts for Ethane Furnace Addition: </t>
  </si>
  <si>
    <t>After Propane Furnace Addition</t>
  </si>
  <si>
    <t>Propane Furnace Addition in DFCU</t>
  </si>
  <si>
    <t xml:space="preserve">Propane Sourcing Infrastructure </t>
  </si>
  <si>
    <t>Ethane Furnace Addition Capex in DFCU</t>
  </si>
  <si>
    <t>Ethane Import Facility Build-up</t>
  </si>
  <si>
    <t>Ethane Storage Tank</t>
  </si>
  <si>
    <t>Pipeline &amp; associated facilities</t>
  </si>
  <si>
    <t>Monthly Feed (assuming Propane Furnace Addition @8500hrs Operations)**</t>
  </si>
  <si>
    <t>Monthly Feed (assuming Ethane Furnace Addition @8500hrs Operations)**</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</si>
  <si>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</si>
  <si>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Ethane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</si>
  <si>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</si>
  <si>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Revenue from PVC and or Phenol in INR Cr</t>
  </si>
  <si>
    <t>Co-product/Byproduct Credit</t>
  </si>
  <si>
    <t>Revenue (Co-Products)</t>
  </si>
  <si>
    <t>Net Revenue Change (Co-Products)</t>
  </si>
  <si>
    <t>Revenue (Co-Products + PVC+ Phenol + Acetone)</t>
  </si>
  <si>
    <t>Net Revenue Change (Co-Products + PVC+ Phenol + Acetone)</t>
  </si>
  <si>
    <t>Month</t>
  </si>
  <si>
    <t>Date</t>
  </si>
  <si>
    <t>Average of Propane INR/MT</t>
  </si>
  <si>
    <t>Average of Naphtha  INR/MT</t>
  </si>
  <si>
    <t>Average of Butane</t>
  </si>
  <si>
    <t>USD-INR</t>
  </si>
  <si>
    <t>Average of Propane at OPaL INR/MT</t>
  </si>
  <si>
    <t>Average of Butane at OPaL INR/MT</t>
  </si>
  <si>
    <t>Average of  NAPHTHA FOB ARAB GULF VS  NAPHTHA USD/MT</t>
  </si>
  <si>
    <t>HHUB Price
USD/mmBtu</t>
  </si>
  <si>
    <t>Domestic Natural GAS Price
$/MMBTU</t>
  </si>
  <si>
    <t>MT LNG per 1.95MMSCMD</t>
  </si>
  <si>
    <t>Ethane Price (Factory Gate) $/MMBTU above 1.95mmscmd limit
Shale Gas from USA</t>
  </si>
  <si>
    <t>Ethane Price (Factory Gate) $/MT above 1.95mmscmd limit</t>
  </si>
  <si>
    <t>Additional Ethane used in Ethane Furnace Addition</t>
  </si>
  <si>
    <t xml:space="preserve">Percentage of additional ethane used </t>
  </si>
  <si>
    <t>Percenatge of ethane used in base case</t>
  </si>
  <si>
    <t>Jan</t>
  </si>
  <si>
    <t>Feb</t>
  </si>
  <si>
    <t>Mar</t>
  </si>
  <si>
    <t>Apr</t>
  </si>
  <si>
    <t>May</t>
  </si>
  <si>
    <t>Jun</t>
  </si>
  <si>
    <t>Jul</t>
  </si>
  <si>
    <t>Aug</t>
  </si>
  <si>
    <t>Sep</t>
  </si>
  <si>
    <t>Oct</t>
  </si>
  <si>
    <t>Nov</t>
  </si>
  <si>
    <t>Dec</t>
  </si>
  <si>
    <t>Propane Furnace-Propane Price</t>
  </si>
  <si>
    <t>Average of Naphtha  at OPaL
Base Case INR/MT</t>
  </si>
  <si>
    <t>Naphtha Propane Furnace CASE</t>
  </si>
  <si>
    <t>Naphtha Ethane Furnace CASE</t>
  </si>
  <si>
    <t>Hazira</t>
  </si>
  <si>
    <t>Uran</t>
  </si>
  <si>
    <t>External</t>
  </si>
  <si>
    <t>Base CASE Existing Naphtha</t>
  </si>
  <si>
    <t>Propane Furnace Case Naphtha</t>
  </si>
  <si>
    <t>Naphtha Price Basis</t>
  </si>
  <si>
    <t xml:space="preserve">Ethane Price
(Ethane  Furnace Addition) Price taken </t>
  </si>
  <si>
    <t>Ethane Price (Propane Furnace Addition) Price TAKEN FOR Ethane</t>
  </si>
  <si>
    <t>Ethane cost at OPaL INR /MT upto
 1.95 limit 
Base Case</t>
  </si>
  <si>
    <t>Capacity for 350 KTPA PVC Resin and 200 KTPA Phenol + 123 KTPA Acetone-Propane Furnace</t>
  </si>
  <si>
    <t>Capacity for 350 KTPA PVC Resin and 200 KTPA Phenol + 123 KTPA Acetone-Ethane Furnace</t>
  </si>
  <si>
    <t>Ethane Furnace addition - Capacity for 200 KTPA Phenol + 120 KTPA Acetone</t>
  </si>
  <si>
    <t>Opion 1 - Capacity for 200 KTPA Phenol + 120 KTPA Acetone-Propane Furnace Addition</t>
  </si>
  <si>
    <t>Capacity for 500 KTPA PVC Plant (350 KTPA + 150 KTPA EDC Outsourced) : Break Even Point at Optimum Capacity Utilisation (4th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</si>
</sst>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00"/>
    <numFmt numFmtId="170" formatCode="0.0%"/>
    <numFmt numFmtId="171" formatCode="_(* #,##0_);_(* \(#,##0\);_(* &quot;-&quot;_);@_)"/>
    <numFmt numFmtId="172" formatCode="0%_);\(0%\)"/>
    <numFmt numFmtId="173" formatCode="0.0000"/>
    <numFmt numFmtId="174" formatCode="_(* #,##0.0000_);_(* \(#,##0.0000\);_(* &quot;-&quot;_);@_)"/>
    <numFmt numFmtId="175" formatCode="_(* #,##0.00_);_(* \(#,##0.00\);_(* &quot;-&quot;_);@_)"/>
    <numFmt numFmtId="176" formatCode="_(* #,##0.0_);_(* \(#,##0.0\);_(* &quot;-&quot;_);@_)"/>
    <numFmt numFmtId="177" formatCode="_(* #,##0.00000_);_(* \(#,##0.00000\);_(* &quot;-&quot;_);@_)"/>
    <numFmt numFmtId="178" formatCode="_(* #,##0.000_);_(* \(#,##0.000\);_(* &quot;-&quot;_);@_)"/>
    <numFmt numFmtId="179" formatCode="_(* #,##0.0000_);_(* \(#,##0.0000\);_(* &quot;-&quot;??_);_(@_)"/>
    <numFmt numFmtId="180" formatCode="0.000%"/>
  </numFmts>
  <fonts count="7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sz val="8"/>
      <color theme="1"/>
      <name val="Arial"/>
      <family val="2"/>
    </font>
    <font>
      <sz val="12"/>
      <color theme="1"/>
      <name val="Calibri"/>
      <family val="2"/>
      <scheme val="minor"/>
    </font>
    <font>
      <sz val="11"/>
      <name val="Arial"/>
      <family val="2"/>
    </font>
    <font>
      <sz val="10"/>
      <name val="Times New Roman"/>
      <family val="1"/>
      <charset val="204"/>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10"/>
      <color rgb="FF000000"/>
      <name val="Arial"/>
      <family val="2"/>
    </font>
    <font>
      <b/>
      <sz val="11"/>
      <color theme="1"/>
      <name val="Arial"/>
      <family val="2"/>
    </font>
    <font>
      <sz val="11"/>
      <color rgb="FF000000"/>
      <name val="Arial"/>
      <family val="2"/>
    </font>
    <font>
      <sz val="12"/>
      <name val="Times New Roman"/>
      <family val="1"/>
    </font>
    <font>
      <b/>
      <sz val="12"/>
      <name val="Times New Roman"/>
      <family val="1"/>
    </font>
    <font>
      <sz val="10"/>
      <color indexed="10"/>
      <name val="Arial"/>
      <family val="2"/>
    </font>
    <font>
      <sz val="12"/>
      <color indexed="10"/>
      <name val="Times New Roman"/>
      <family val="1"/>
    </font>
    <font>
      <sz val="11"/>
      <name val="Times New Roman"/>
      <family val="1"/>
    </font>
    <font>
      <b/>
      <i/>
      <sz val="10"/>
      <name val="Arial"/>
      <family val="2"/>
    </font>
    <font>
      <sz val="9"/>
      <color theme="1"/>
      <name val="Arial"/>
      <family val="2"/>
    </font>
    <font>
      <b/>
      <sz val="9"/>
      <color theme="1"/>
      <name val="Arial"/>
      <family val="2"/>
    </font>
    <font>
      <sz val="9"/>
      <color theme="0" tint="-0.249977111117893"/>
      <name val="Arial"/>
      <family val="2"/>
    </font>
    <font>
      <b/>
      <sz val="8"/>
      <color theme="1"/>
      <name val="Arial"/>
      <family val="2"/>
    </font>
    <font>
      <b/>
      <sz val="9"/>
      <color rgb="FF000000"/>
      <name val="Arial"/>
      <family val="2"/>
    </font>
    <font>
      <sz val="9"/>
      <color rgb="FF000000"/>
      <name val="Arial"/>
      <family val="2"/>
    </font>
    <font>
      <sz val="9"/>
      <name val="Arial"/>
      <family val="2"/>
    </font>
    <font>
      <b/>
      <sz val="11"/>
      <color theme="0"/>
      <name val="Calibri"/>
      <family val="2"/>
      <scheme val="minor"/>
    </font>
    <font>
      <b/>
      <sz val="11"/>
      <name val="Arial"/>
      <family val="2"/>
    </font>
    <font>
      <sz val="10"/>
      <color theme="0"/>
      <name val="Arial"/>
      <family val="2"/>
    </font>
    <font>
      <sz val="8"/>
      <color rgb="FFFF0000"/>
      <name val="Arial"/>
      <family val="2"/>
    </font>
    <font>
      <sz val="10"/>
      <color theme="1"/>
      <name val=" Arial "/>
    </font>
    <font>
      <b/>
      <sz val="10"/>
      <color theme="1"/>
      <name val=" Arial "/>
    </font>
    <font>
      <sz val="10"/>
      <name val=" Arial "/>
    </font>
    <font>
      <sz val="11"/>
      <color theme="0"/>
      <name val="Arial"/>
      <family val="2"/>
    </font>
    <font>
      <sz val="11"/>
      <color theme="1"/>
      <name val="Arial"/>
      <family val="2"/>
    </font>
    <font>
      <b/>
      <sz val="14"/>
      <color theme="0"/>
      <name val="Arial"/>
      <family val="2"/>
    </font>
    <font>
      <b/>
      <sz val="12.5"/>
      <color theme="0"/>
      <name val="Arial"/>
      <family val="2"/>
    </font>
    <font>
      <b/>
      <sz val="14"/>
      <color theme="3" tint="0.59999389629810485"/>
      <name val="Arial"/>
      <family val="2"/>
    </font>
    <font>
      <b/>
      <sz val="16"/>
      <name val="Arial"/>
      <family val="2"/>
    </font>
    <font>
      <b/>
      <sz val="10"/>
      <color theme="8" tint="-0.499984740745262"/>
      <name val="Arial"/>
      <family val="2"/>
    </font>
  </fonts>
  <fills count="35">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indexed="43"/>
        <bgColor indexed="64"/>
      </patternFill>
    </fill>
    <fill>
      <patternFill patternType="solid">
        <fgColor theme="2"/>
        <bgColor indexed="64"/>
      </patternFill>
    </fill>
    <fill>
      <patternFill patternType="solid">
        <fgColor theme="5" tint="0.79998168889431442"/>
        <bgColor indexed="64"/>
      </patternFill>
    </fill>
    <fill>
      <patternFill patternType="solid">
        <fgColor rgb="FFDEDEDE"/>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4"/>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s>
  <borders count="41">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57">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1" fontId="13" fillId="0" borderId="0"/>
    <xf numFmtId="0" fontId="19" fillId="7" borderId="0" applyNumberFormat="0" applyBorder="0" applyAlignment="0" applyProtection="0"/>
    <xf numFmtId="0" fontId="23" fillId="10" borderId="16" applyNumberFormat="0" applyAlignment="0" applyProtection="0"/>
    <xf numFmtId="0" fontId="25" fillId="11" borderId="19" applyNumberFormat="0" applyAlignment="0" applyProtection="0"/>
    <xf numFmtId="43" fontId="13" fillId="0" borderId="0" applyFont="0" applyFill="0" applyBorder="0" applyAlignment="0" applyProtection="0"/>
    <xf numFmtId="0" fontId="26" fillId="0" borderId="0" applyNumberFormat="0" applyFill="0" applyBorder="0" applyAlignment="0" applyProtection="0"/>
    <xf numFmtId="0" fontId="18" fillId="6" borderId="0" applyNumberFormat="0" applyBorder="0" applyAlignment="0" applyProtection="0"/>
    <xf numFmtId="49" fontId="15" fillId="0" borderId="21" applyFill="0" applyProtection="0">
      <alignment horizontal="right" wrapText="1"/>
    </xf>
    <xf numFmtId="49" fontId="16" fillId="0" borderId="0" applyProtection="0">
      <alignment wrapText="1"/>
    </xf>
    <xf numFmtId="49" fontId="17" fillId="0" borderId="22" applyFill="0" applyProtection="0">
      <alignment horizontal="right" wrapText="1"/>
    </xf>
    <xf numFmtId="49" fontId="17" fillId="0" borderId="0" applyProtection="0">
      <alignment wrapText="1"/>
    </xf>
    <xf numFmtId="0" fontId="32" fillId="0" borderId="0" applyNumberFormat="0" applyFill="0" applyBorder="0" applyAlignment="0" applyProtection="0">
      <alignment vertical="top"/>
      <protection locked="0"/>
    </xf>
    <xf numFmtId="0" fontId="21" fillId="9" borderId="16" applyNumberFormat="0" applyAlignment="0" applyProtection="0"/>
    <xf numFmtId="0" fontId="24" fillId="0" borderId="18" applyNumberFormat="0" applyFill="0" applyAlignment="0" applyProtection="0"/>
    <xf numFmtId="0" fontId="20" fillId="8" borderId="0" applyNumberFormat="0" applyBorder="0" applyAlignment="0" applyProtection="0"/>
    <xf numFmtId="0" fontId="1" fillId="0" borderId="0"/>
    <xf numFmtId="0" fontId="13" fillId="12" borderId="20" applyNumberFormat="0" applyAlignment="0" applyProtection="0"/>
    <xf numFmtId="0" fontId="22" fillId="10" borderId="17" applyNumberFormat="0" applyAlignment="0" applyProtection="0"/>
    <xf numFmtId="9" fontId="13" fillId="0" borderId="0" applyFont="0" applyFill="0" applyBorder="0" applyAlignment="0" applyProtection="0"/>
    <xf numFmtId="9" fontId="1" fillId="0" borderId="0" applyFont="0" applyFill="0" applyBorder="0" applyAlignment="0" applyProtection="0"/>
    <xf numFmtId="171" fontId="28" fillId="0" borderId="0" applyNumberFormat="0" applyFill="0" applyBorder="0" applyAlignment="0" applyProtection="0"/>
    <xf numFmtId="171" fontId="13" fillId="13" borderId="0" applyNumberFormat="0" applyFont="0" applyBorder="0" applyAlignment="0" applyProtection="0"/>
    <xf numFmtId="0" fontId="13" fillId="0" borderId="0" applyFill="0" applyBorder="0" applyProtection="0"/>
    <xf numFmtId="171" fontId="13" fillId="14" borderId="0" applyNumberFormat="0" applyFont="0" applyBorder="0" applyAlignment="0" applyProtection="0"/>
    <xf numFmtId="172" fontId="13" fillId="0" borderId="0" applyFill="0" applyBorder="0" applyAlignment="0" applyProtection="0"/>
    <xf numFmtId="0" fontId="29" fillId="0" borderId="0" applyNumberFormat="0" applyAlignment="0" applyProtection="0"/>
    <xf numFmtId="0" fontId="28" fillId="0" borderId="21" applyFill="0" applyProtection="0">
      <alignment horizontal="left" wrapText="1"/>
    </xf>
    <xf numFmtId="0" fontId="28" fillId="0" borderId="0" applyFill="0" applyProtection="0">
      <alignment wrapText="1"/>
    </xf>
    <xf numFmtId="0" fontId="28" fillId="0" borderId="25" applyFill="0" applyProtection="0">
      <alignment wrapText="1"/>
    </xf>
    <xf numFmtId="171" fontId="30" fillId="0" borderId="24" applyNumberFormat="0" applyFill="0" applyAlignment="0" applyProtection="0"/>
    <xf numFmtId="0" fontId="31" fillId="0" borderId="0" applyAlignment="0" applyProtection="0"/>
    <xf numFmtId="0" fontId="30" fillId="0" borderId="23" applyNumberFormat="0" applyFill="0" applyAlignment="0" applyProtection="0"/>
    <xf numFmtId="49" fontId="14" fillId="0" borderId="0" applyAlignment="0" applyProtection="0"/>
    <xf numFmtId="0" fontId="27" fillId="0" borderId="23" applyNumberFormat="0" applyFill="0" applyAlignment="0" applyProtection="0"/>
    <xf numFmtId="0" fontId="4" fillId="0" borderId="0"/>
    <xf numFmtId="43" fontId="1" fillId="0" borderId="0" applyFont="0" applyFill="0" applyBorder="0" applyAlignment="0" applyProtection="0"/>
    <xf numFmtId="0" fontId="4" fillId="0" borderId="0"/>
    <xf numFmtId="0" fontId="13" fillId="0" borderId="0"/>
    <xf numFmtId="171" fontId="13" fillId="0" borderId="0"/>
    <xf numFmtId="9" fontId="13" fillId="0" borderId="0" applyFont="0" applyFill="0" applyBorder="0" applyAlignment="0" applyProtection="0"/>
    <xf numFmtId="0" fontId="34" fillId="0" borderId="0"/>
    <xf numFmtId="0" fontId="4" fillId="0" borderId="0"/>
    <xf numFmtId="0" fontId="36" fillId="0" borderId="0" applyNumberFormat="0" applyFill="0" applyBorder="0" applyProtection="0">
      <alignment vertical="top" wrapText="1"/>
    </xf>
    <xf numFmtId="0" fontId="4" fillId="0" borderId="0"/>
    <xf numFmtId="9" fontId="4"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0" fontId="4" fillId="0" borderId="0"/>
    <xf numFmtId="9" fontId="4" fillId="0" borderId="0" applyFont="0" applyFill="0" applyBorder="0" applyAlignment="0" applyProtection="0"/>
  </cellStyleXfs>
  <cellXfs count="1141">
    <xf numFmtId="0" fontId="0" fillId="0" borderId="0" xfId="0"/>
    <xf numFmtId="0" fontId="3" fillId="0" borderId="0" xfId="0" applyFont="1"/>
    <xf numFmtId="0" fontId="3" fillId="0" borderId="27" xfId="0" applyFont="1" applyBorder="1" applyAlignment="1">
      <alignment horizontal="center"/>
    </xf>
    <xf numFmtId="170" fontId="3" fillId="0" borderId="0" xfId="3" applyNumberFormat="1" applyFont="1" applyFill="1" applyBorder="1" applyAlignment="1">
      <alignment horizontal="center" wrapText="1"/>
    </xf>
    <xf numFmtId="0" fontId="10" fillId="0" borderId="0" xfId="0" applyFont="1" applyAlignment="1">
      <alignment horizontal="center" vertical="center" wrapText="1"/>
    </xf>
    <xf numFmtId="0" fontId="3" fillId="0" borderId="0" xfId="0" applyFont="1" applyAlignment="1">
      <alignment horizontal="center" vertical="center" wrapText="1"/>
    </xf>
    <xf numFmtId="9" fontId="3" fillId="0" borderId="0" xfId="0" applyNumberFormat="1" applyFont="1" applyAlignment="1">
      <alignment horizontal="center" vertical="center" wrapText="1"/>
    </xf>
    <xf numFmtId="0" fontId="10" fillId="0" borderId="27" xfId="0" applyFont="1" applyBorder="1" applyAlignment="1">
      <alignment horizontal="center" vertical="center" wrapText="1"/>
    </xf>
    <xf numFmtId="0" fontId="3" fillId="0" borderId="27" xfId="0" applyFont="1" applyBorder="1" applyAlignment="1">
      <alignment horizontal="center" vertical="center" wrapText="1"/>
    </xf>
    <xf numFmtId="0" fontId="3" fillId="0" borderId="11" xfId="0" applyFont="1" applyBorder="1" applyAlignment="1">
      <alignment horizontal="center" vertical="center" wrapText="1"/>
    </xf>
    <xf numFmtId="0" fontId="10" fillId="0" borderId="1" xfId="0" applyFont="1" applyBorder="1" applyAlignment="1">
      <alignment horizontal="center" vertical="center" wrapText="1"/>
    </xf>
    <xf numFmtId="9" fontId="3" fillId="0" borderId="0" xfId="0" applyNumberFormat="1" applyFont="1" applyAlignment="1">
      <alignment horizontal="center" vertical="center"/>
    </xf>
    <xf numFmtId="0" fontId="3" fillId="17" borderId="27" xfId="0" applyFont="1" applyFill="1" applyBorder="1" applyAlignment="1">
      <alignment horizontal="center" vertical="center" wrapText="1"/>
    </xf>
    <xf numFmtId="0" fontId="10" fillId="17" borderId="0" xfId="0" applyFont="1" applyFill="1" applyAlignment="1">
      <alignment horizontal="center" vertical="center" wrapText="1"/>
    </xf>
    <xf numFmtId="0" fontId="3" fillId="17" borderId="0" xfId="0" applyFont="1" applyFill="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3" fillId="0" borderId="0" xfId="0" applyFont="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Alignment="1">
      <alignment horizontal="center" vertical="center"/>
    </xf>
    <xf numFmtId="165" fontId="3" fillId="0" borderId="0" xfId="0" applyNumberFormat="1" applyFont="1" applyAlignment="1">
      <alignment horizontal="center" vertical="center"/>
    </xf>
    <xf numFmtId="0" fontId="3" fillId="18" borderId="0" xfId="0" applyFont="1" applyFill="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1" fontId="9" fillId="0" borderId="0" xfId="0" applyNumberFormat="1" applyFont="1" applyAlignment="1">
      <alignment horizontal="center" vertical="center"/>
    </xf>
    <xf numFmtId="0" fontId="9" fillId="0" borderId="0" xfId="0" applyFont="1" applyAlignment="1">
      <alignment horizontal="left" vertical="center"/>
    </xf>
    <xf numFmtId="9" fontId="9" fillId="0" borderId="0" xfId="0" applyNumberFormat="1" applyFont="1" applyAlignment="1">
      <alignment horizontal="center" vertical="center"/>
    </xf>
    <xf numFmtId="0" fontId="9" fillId="0" borderId="27" xfId="0" applyFont="1" applyBorder="1" applyAlignment="1">
      <alignment horizontal="center" vertical="center" wrapText="1"/>
    </xf>
    <xf numFmtId="0" fontId="9" fillId="0" borderId="26" xfId="0" applyFont="1" applyBorder="1" applyAlignment="1">
      <alignment horizontal="center" vertical="center"/>
    </xf>
    <xf numFmtId="0" fontId="8" fillId="0" borderId="27"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1" xfId="0" applyFont="1" applyBorder="1" applyAlignment="1">
      <alignment horizontal="center" vertical="center"/>
    </xf>
    <xf numFmtId="2" fontId="3" fillId="0" borderId="0" xfId="0" applyNumberFormat="1" applyFont="1" applyAlignment="1">
      <alignment horizontal="center"/>
    </xf>
    <xf numFmtId="2" fontId="3" fillId="0" borderId="26" xfId="0" applyNumberFormat="1" applyFont="1" applyBorder="1" applyAlignment="1">
      <alignment horizontal="center"/>
    </xf>
    <xf numFmtId="0" fontId="3" fillId="0" borderId="11" xfId="0" applyFont="1" applyBorder="1"/>
    <xf numFmtId="1" fontId="9" fillId="0" borderId="26" xfId="0" applyNumberFormat="1" applyFont="1" applyBorder="1" applyAlignment="1">
      <alignment horizontal="center" vertical="center"/>
    </xf>
    <xf numFmtId="1" fontId="8" fillId="0" borderId="26" xfId="0" applyNumberFormat="1" applyFont="1" applyBorder="1" applyAlignment="1">
      <alignment horizontal="center" vertic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0" xfId="0" applyFont="1" applyFill="1" applyAlignment="1">
      <alignment horizontal="center" vertical="center"/>
    </xf>
    <xf numFmtId="0" fontId="8" fillId="4" borderId="26" xfId="0" applyFont="1" applyFill="1" applyBorder="1" applyAlignment="1">
      <alignment horizontal="center" vertical="center"/>
    </xf>
    <xf numFmtId="1" fontId="3" fillId="0" borderId="26" xfId="0" applyNumberFormat="1" applyFont="1" applyBorder="1" applyAlignment="1">
      <alignment horizontal="center"/>
    </xf>
    <xf numFmtId="1" fontId="3" fillId="0" borderId="12" xfId="0" applyNumberFormat="1" applyFont="1" applyBorder="1" applyAlignment="1">
      <alignment horizontal="center"/>
    </xf>
    <xf numFmtId="9" fontId="3" fillId="19" borderId="0" xfId="3" applyFont="1" applyFill="1" applyBorder="1" applyAlignment="1">
      <alignment horizontal="center" wrapText="1"/>
    </xf>
    <xf numFmtId="0" fontId="10" fillId="17" borderId="26" xfId="0" applyFont="1" applyFill="1" applyBorder="1" applyAlignment="1">
      <alignment horizontal="center" vertical="center" wrapText="1"/>
    </xf>
    <xf numFmtId="4" fontId="10" fillId="0" borderId="10" xfId="0" applyNumberFormat="1" applyFont="1" applyBorder="1" applyAlignment="1">
      <alignment horizontal="center" vertical="center" wrapText="1"/>
    </xf>
    <xf numFmtId="4" fontId="10" fillId="0" borderId="26" xfId="0" applyNumberFormat="1" applyFont="1" applyBorder="1" applyAlignment="1">
      <alignment horizontal="center" vertical="center" wrapText="1"/>
    </xf>
    <xf numFmtId="3" fontId="12" fillId="0" borderId="26" xfId="0" applyNumberFormat="1" applyFont="1" applyBorder="1" applyAlignment="1">
      <alignment horizontal="center" vertical="center" wrapText="1"/>
    </xf>
    <xf numFmtId="3" fontId="3" fillId="0" borderId="26" xfId="0" applyNumberFormat="1" applyFont="1" applyBorder="1" applyAlignment="1">
      <alignment horizontal="center" vertical="center" wrapText="1"/>
    </xf>
    <xf numFmtId="0" fontId="11" fillId="2" borderId="9" xfId="4" applyFont="1" applyBorder="1" applyAlignment="1">
      <alignment horizontal="center" vertical="center"/>
    </xf>
    <xf numFmtId="0" fontId="11" fillId="2" borderId="9" xfId="4" applyFont="1" applyBorder="1" applyAlignment="1">
      <alignment horizontal="center" vertical="center" wrapText="1"/>
    </xf>
    <xf numFmtId="165" fontId="7" fillId="0" borderId="27" xfId="1" applyNumberFormat="1"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3" fillId="0" borderId="0" xfId="0" applyFont="1" applyAlignment="1">
      <alignment horizontal="center"/>
    </xf>
    <xf numFmtId="171" fontId="3" fillId="16" borderId="0" xfId="46" applyFont="1" applyFill="1" applyAlignment="1">
      <alignment horizontal="center"/>
    </xf>
    <xf numFmtId="168" fontId="3" fillId="0" borderId="0" xfId="0" applyNumberFormat="1" applyFont="1" applyAlignment="1">
      <alignment horizontal="center"/>
    </xf>
    <xf numFmtId="0" fontId="3" fillId="4" borderId="0" xfId="0" applyFont="1" applyFill="1" applyAlignment="1">
      <alignment horizontal="center"/>
    </xf>
    <xf numFmtId="0" fontId="3" fillId="0" borderId="8" xfId="0" applyFont="1" applyBorder="1"/>
    <xf numFmtId="0" fontId="3" fillId="0" borderId="27" xfId="0" applyFont="1" applyBorder="1"/>
    <xf numFmtId="171" fontId="3" fillId="16" borderId="26" xfId="46" applyFont="1" applyFill="1" applyBorder="1"/>
    <xf numFmtId="171" fontId="10" fillId="20" borderId="27" xfId="46" applyFont="1" applyFill="1" applyBorder="1"/>
    <xf numFmtId="0" fontId="3" fillId="0" borderId="26" xfId="0" applyFont="1" applyBorder="1"/>
    <xf numFmtId="171" fontId="3" fillId="16" borderId="27" xfId="46" applyFont="1" applyFill="1" applyBorder="1"/>
    <xf numFmtId="171" fontId="10" fillId="4" borderId="27" xfId="46" applyFont="1" applyFill="1" applyBorder="1"/>
    <xf numFmtId="0" fontId="3" fillId="4" borderId="26" xfId="0" applyFont="1" applyFill="1" applyBorder="1"/>
    <xf numFmtId="171" fontId="3" fillId="16" borderId="11" xfId="46" applyFont="1" applyFill="1" applyBorder="1"/>
    <xf numFmtId="168" fontId="3" fillId="0" borderId="1" xfId="0" applyNumberFormat="1" applyFont="1" applyBorder="1" applyAlignment="1">
      <alignment horizontal="center"/>
    </xf>
    <xf numFmtId="171" fontId="10" fillId="0" borderId="0" xfId="46" applyFont="1" applyAlignment="1">
      <alignment horizontal="center"/>
    </xf>
    <xf numFmtId="171" fontId="3" fillId="0" borderId="0" xfId="46" applyFont="1"/>
    <xf numFmtId="173" fontId="13" fillId="0" borderId="0" xfId="46" applyNumberFormat="1" applyAlignment="1">
      <alignment horizontal="center" vertical="center"/>
    </xf>
    <xf numFmtId="1" fontId="3" fillId="0" borderId="0" xfId="0" applyNumberFormat="1" applyFont="1" applyAlignment="1">
      <alignment horizontal="center"/>
    </xf>
    <xf numFmtId="171" fontId="10" fillId="16" borderId="8" xfId="46" applyFont="1" applyFill="1" applyBorder="1" applyAlignment="1">
      <alignment horizontal="center"/>
    </xf>
    <xf numFmtId="171" fontId="10" fillId="16" borderId="9" xfId="46" applyFont="1" applyFill="1" applyBorder="1" applyAlignment="1">
      <alignment horizontal="center"/>
    </xf>
    <xf numFmtId="171" fontId="10" fillId="16" borderId="10" xfId="46" applyFont="1" applyFill="1" applyBorder="1"/>
    <xf numFmtId="3" fontId="10" fillId="0" borderId="26" xfId="0" applyNumberFormat="1" applyFont="1" applyBorder="1" applyAlignment="1">
      <alignment horizontal="center" vertical="center" wrapText="1"/>
    </xf>
    <xf numFmtId="0" fontId="35" fillId="0" borderId="0" xfId="0" applyFont="1" applyAlignment="1">
      <alignment horizontal="center"/>
    </xf>
    <xf numFmtId="0" fontId="4" fillId="0" borderId="27" xfId="0" applyFont="1" applyBorder="1" applyAlignment="1" applyProtection="1">
      <alignment horizontal="center" vertical="center"/>
      <protection locked="0"/>
    </xf>
    <xf numFmtId="4" fontId="4" fillId="0" borderId="0" xfId="0" applyNumberFormat="1" applyFont="1" applyAlignment="1">
      <alignment horizontal="center" vertical="center"/>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3" fontId="4" fillId="0" borderId="0" xfId="0" applyNumberFormat="1" applyFont="1" applyAlignment="1" applyProtection="1">
      <alignment horizontal="center" vertical="center"/>
      <protection locked="0"/>
    </xf>
    <xf numFmtId="0" fontId="7" fillId="21" borderId="4" xfId="0" applyFont="1" applyFill="1" applyBorder="1" applyAlignment="1">
      <alignment horizontal="center"/>
    </xf>
    <xf numFmtId="0" fontId="7" fillId="21" borderId="15" xfId="0" applyFont="1" applyFill="1" applyBorder="1" applyAlignment="1">
      <alignment horizontal="center" vertical="center"/>
    </xf>
    <xf numFmtId="3" fontId="7" fillId="21" borderId="15" xfId="0" applyNumberFormat="1" applyFont="1" applyFill="1" applyBorder="1" applyAlignment="1">
      <alignment vertical="center"/>
    </xf>
    <xf numFmtId="2" fontId="3" fillId="0" borderId="12" xfId="0" applyNumberFormat="1" applyFont="1" applyBorder="1" applyAlignment="1">
      <alignment horizontal="center"/>
    </xf>
    <xf numFmtId="0" fontId="10" fillId="0" borderId="0" xfId="0" applyFont="1" applyAlignment="1">
      <alignment horizontal="center"/>
    </xf>
    <xf numFmtId="0" fontId="37" fillId="0" borderId="0" xfId="0" applyFont="1" applyAlignment="1">
      <alignment vertical="top"/>
    </xf>
    <xf numFmtId="0" fontId="8" fillId="24" borderId="28" xfId="0" applyFont="1" applyFill="1" applyBorder="1" applyAlignment="1">
      <alignment vertical="center"/>
    </xf>
    <xf numFmtId="0" fontId="8" fillId="24" borderId="13" xfId="0" applyFont="1" applyFill="1" applyBorder="1" applyAlignment="1">
      <alignment horizontal="center" vertical="center"/>
    </xf>
    <xf numFmtId="0" fontId="8" fillId="24" borderId="29" xfId="0" applyFont="1" applyFill="1" applyBorder="1" applyAlignment="1">
      <alignment horizontal="center" vertical="center"/>
    </xf>
    <xf numFmtId="0" fontId="3" fillId="0" borderId="28" xfId="0" applyFont="1" applyBorder="1" applyAlignment="1">
      <alignment vertical="center"/>
    </xf>
    <xf numFmtId="0" fontId="9" fillId="0" borderId="13" xfId="0" applyFont="1" applyBorder="1" applyAlignment="1">
      <alignment horizontal="center" vertical="center"/>
    </xf>
    <xf numFmtId="0" fontId="9" fillId="0" borderId="28" xfId="0" applyFont="1" applyBorder="1" applyAlignment="1">
      <alignment vertical="center"/>
    </xf>
    <xf numFmtId="0" fontId="8" fillId="24" borderId="28" xfId="0" applyFont="1" applyFill="1" applyBorder="1" applyAlignment="1">
      <alignment horizontal="center" vertical="center"/>
    </xf>
    <xf numFmtId="0" fontId="8" fillId="24" borderId="13"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9" fillId="5" borderId="28" xfId="0" applyFont="1" applyFill="1" applyBorder="1" applyAlignment="1">
      <alignment horizontal="center" vertical="center"/>
    </xf>
    <xf numFmtId="0" fontId="8" fillId="5" borderId="13" xfId="0" applyFont="1" applyFill="1" applyBorder="1" applyAlignment="1">
      <alignment vertical="center" wrapText="1"/>
    </xf>
    <xf numFmtId="0" fontId="9" fillId="5" borderId="13" xfId="0" applyFont="1" applyFill="1" applyBorder="1" applyAlignment="1">
      <alignment horizontal="center" vertical="center"/>
    </xf>
    <xf numFmtId="0" fontId="3" fillId="0" borderId="13" xfId="0" applyFont="1" applyBorder="1" applyAlignment="1">
      <alignment horizontal="center" vertical="center"/>
    </xf>
    <xf numFmtId="3" fontId="0" fillId="0" borderId="0" xfId="0" applyNumberFormat="1"/>
    <xf numFmtId="4" fontId="0" fillId="0" borderId="0" xfId="0" applyNumberFormat="1"/>
    <xf numFmtId="0" fontId="0" fillId="0" borderId="0" xfId="0" applyAlignment="1">
      <alignment vertical="top"/>
    </xf>
    <xf numFmtId="2" fontId="10" fillId="0" borderId="0" xfId="0" applyNumberFormat="1" applyFont="1" applyAlignment="1">
      <alignment horizontal="center"/>
    </xf>
    <xf numFmtId="0" fontId="41" fillId="0" borderId="6" xfId="0" applyFont="1" applyBorder="1" applyAlignment="1">
      <alignment horizontal="left" vertical="center" wrapText="1"/>
    </xf>
    <xf numFmtId="0" fontId="9" fillId="0" borderId="5" xfId="0" applyFont="1" applyBorder="1" applyAlignment="1">
      <alignment horizontal="left" vertical="center" wrapText="1" indent="1"/>
    </xf>
    <xf numFmtId="0" fontId="9" fillId="0" borderId="14" xfId="0" applyFont="1" applyBorder="1" applyAlignment="1">
      <alignment vertical="center" wrapText="1"/>
    </xf>
    <xf numFmtId="0" fontId="43" fillId="0" borderId="0" xfId="0" applyFont="1" applyAlignment="1">
      <alignment horizontal="center" vertical="center"/>
    </xf>
    <xf numFmtId="1" fontId="43" fillId="0" borderId="0" xfId="0" applyNumberFormat="1" applyFont="1" applyAlignment="1">
      <alignment horizontal="center" vertical="center"/>
    </xf>
    <xf numFmtId="170" fontId="43" fillId="0" borderId="0" xfId="3" applyNumberFormat="1" applyFont="1" applyBorder="1" applyAlignment="1">
      <alignment horizontal="center" vertical="center"/>
    </xf>
    <xf numFmtId="0" fontId="35" fillId="4" borderId="9" xfId="0" applyFont="1" applyFill="1" applyBorder="1" applyAlignment="1">
      <alignment horizontal="center" vertical="center"/>
    </xf>
    <xf numFmtId="0" fontId="35" fillId="4" borderId="10" xfId="0" applyFont="1" applyFill="1" applyBorder="1" applyAlignment="1">
      <alignment horizontal="center" vertical="center" wrapText="1"/>
    </xf>
    <xf numFmtId="0" fontId="42" fillId="0" borderId="1" xfId="0" applyFont="1" applyBorder="1" applyAlignment="1">
      <alignment horizontal="center"/>
    </xf>
    <xf numFmtId="3" fontId="42" fillId="0" borderId="1" xfId="0" applyNumberFormat="1" applyFont="1" applyBorder="1" applyAlignment="1">
      <alignment horizontal="center"/>
    </xf>
    <xf numFmtId="0" fontId="4" fillId="0" borderId="0" xfId="42"/>
    <xf numFmtId="0" fontId="7" fillId="0" borderId="0" xfId="42" applyFont="1"/>
    <xf numFmtId="0" fontId="4" fillId="0" borderId="0" xfId="42" applyAlignment="1">
      <alignment vertical="center"/>
    </xf>
    <xf numFmtId="167" fontId="4" fillId="0" borderId="0" xfId="42" applyNumberFormat="1"/>
    <xf numFmtId="0" fontId="4" fillId="0" borderId="0" xfId="44"/>
    <xf numFmtId="0" fontId="44" fillId="0" borderId="0" xfId="44" applyFont="1"/>
    <xf numFmtId="2" fontId="4" fillId="0" borderId="0" xfId="44" applyNumberFormat="1"/>
    <xf numFmtId="2" fontId="46" fillId="0" borderId="0" xfId="44" applyNumberFormat="1" applyFont="1"/>
    <xf numFmtId="0" fontId="44" fillId="0" borderId="0" xfId="44" applyFont="1" applyAlignment="1">
      <alignment vertical="center"/>
    </xf>
    <xf numFmtId="2" fontId="47" fillId="0" borderId="0" xfId="44" applyNumberFormat="1" applyFont="1" applyAlignment="1">
      <alignment vertical="center"/>
    </xf>
    <xf numFmtId="2" fontId="44" fillId="0" borderId="0" xfId="44" applyNumberFormat="1" applyFont="1" applyAlignment="1">
      <alignment vertical="center"/>
    </xf>
    <xf numFmtId="2" fontId="7" fillId="0" borderId="0" xfId="44" applyNumberFormat="1" applyFont="1" applyAlignment="1">
      <alignment vertical="center"/>
    </xf>
    <xf numFmtId="2" fontId="45" fillId="0" borderId="0" xfId="44" applyNumberFormat="1" applyFont="1" applyAlignment="1">
      <alignment vertical="center"/>
    </xf>
    <xf numFmtId="167" fontId="4" fillId="0" borderId="0" xfId="44" applyNumberFormat="1"/>
    <xf numFmtId="10" fontId="45" fillId="0" borderId="0" xfId="52" applyNumberFormat="1" applyFont="1" applyAlignment="1">
      <alignment vertical="center"/>
    </xf>
    <xf numFmtId="0" fontId="7" fillId="0" borderId="0" xfId="42" applyFont="1" applyAlignment="1">
      <alignment horizontal="center" vertical="center"/>
    </xf>
    <xf numFmtId="0" fontId="7" fillId="0" borderId="0" xfId="42" applyFont="1" applyAlignment="1">
      <alignment horizontal="center"/>
    </xf>
    <xf numFmtId="2" fontId="7" fillId="0" borderId="0" xfId="42" applyNumberFormat="1" applyFont="1"/>
    <xf numFmtId="2" fontId="4" fillId="0" borderId="0" xfId="42" applyNumberFormat="1"/>
    <xf numFmtId="3" fontId="4" fillId="0" borderId="0" xfId="42" applyNumberFormat="1"/>
    <xf numFmtId="4" fontId="4" fillId="0" borderId="0" xfId="42" applyNumberFormat="1"/>
    <xf numFmtId="3" fontId="7" fillId="0" borderId="0" xfId="42" applyNumberFormat="1" applyFont="1"/>
    <xf numFmtId="3" fontId="7" fillId="0" borderId="0" xfId="42" applyNumberFormat="1" applyFont="1" applyAlignment="1">
      <alignment horizontal="center"/>
    </xf>
    <xf numFmtId="4" fontId="7" fillId="0" borderId="0" xfId="42" applyNumberFormat="1" applyFont="1" applyAlignment="1">
      <alignment horizontal="center"/>
    </xf>
    <xf numFmtId="0" fontId="48" fillId="0" borderId="0" xfId="42" applyFont="1" applyAlignment="1">
      <alignment vertical="center"/>
    </xf>
    <xf numFmtId="0" fontId="35" fillId="0" borderId="0" xfId="42" applyFont="1"/>
    <xf numFmtId="0" fontId="35" fillId="0" borderId="0" xfId="42" applyFont="1" applyAlignment="1">
      <alignment vertical="center"/>
    </xf>
    <xf numFmtId="2" fontId="4" fillId="0" borderId="0" xfId="42" applyNumberFormat="1" applyAlignment="1">
      <alignment horizontal="center" vertical="center"/>
    </xf>
    <xf numFmtId="0" fontId="4" fillId="0" borderId="0" xfId="42" applyAlignment="1">
      <alignment horizontal="center" vertical="center"/>
    </xf>
    <xf numFmtId="0" fontId="4" fillId="0" borderId="0" xfId="42" applyAlignment="1">
      <alignment horizontal="center"/>
    </xf>
    <xf numFmtId="167" fontId="4" fillId="0" borderId="0" xfId="42" applyNumberFormat="1" applyAlignment="1">
      <alignment horizontal="center" vertical="center"/>
    </xf>
    <xf numFmtId="167" fontId="4" fillId="0" borderId="0" xfId="42" applyNumberFormat="1" applyAlignment="1">
      <alignment horizontal="center"/>
    </xf>
    <xf numFmtId="0" fontId="10" fillId="15" borderId="6" xfId="0" applyFont="1" applyFill="1" applyBorder="1" applyAlignment="1">
      <alignment horizontal="center"/>
    </xf>
    <xf numFmtId="2" fontId="7" fillId="0" borderId="0" xfId="44" applyNumberFormat="1" applyFont="1" applyAlignment="1">
      <alignment horizontal="center" vertical="center"/>
    </xf>
    <xf numFmtId="0" fontId="4" fillId="0" borderId="0" xfId="44" applyAlignment="1">
      <alignment horizontal="center" vertical="center"/>
    </xf>
    <xf numFmtId="2" fontId="4" fillId="0" borderId="0" xfId="44" applyNumberFormat="1" applyAlignment="1">
      <alignment horizontal="center" vertical="center"/>
    </xf>
    <xf numFmtId="171" fontId="10" fillId="16" borderId="27" xfId="46" applyFont="1" applyFill="1" applyBorder="1" applyAlignment="1">
      <alignment vertical="center"/>
    </xf>
    <xf numFmtId="171" fontId="10" fillId="16" borderId="0" xfId="46" applyFont="1" applyFill="1" applyAlignment="1">
      <alignment vertical="center"/>
    </xf>
    <xf numFmtId="171" fontId="10" fillId="16" borderId="26" xfId="46" applyFont="1" applyFill="1" applyBorder="1" applyAlignment="1">
      <alignment horizontal="center" vertical="center"/>
    </xf>
    <xf numFmtId="1" fontId="3" fillId="0" borderId="9" xfId="0" applyNumberFormat="1" applyFont="1" applyBorder="1" applyAlignment="1">
      <alignment horizontal="center"/>
    </xf>
    <xf numFmtId="0" fontId="3" fillId="4" borderId="8" xfId="0" applyFont="1" applyFill="1" applyBorder="1" applyAlignment="1">
      <alignment horizontal="center"/>
    </xf>
    <xf numFmtId="0" fontId="3" fillId="4" borderId="10" xfId="0" applyFont="1" applyFill="1" applyBorder="1" applyAlignment="1">
      <alignment horizontal="center"/>
    </xf>
    <xf numFmtId="2" fontId="3" fillId="0" borderId="0" xfId="0" applyNumberFormat="1" applyFont="1"/>
    <xf numFmtId="0" fontId="4" fillId="0" borderId="0" xfId="0" applyFont="1" applyAlignment="1">
      <alignment horizontal="center" vertical="center"/>
    </xf>
    <xf numFmtId="0" fontId="3" fillId="0" borderId="0" xfId="0" applyFont="1" applyAlignment="1">
      <alignment wrapText="1"/>
    </xf>
    <xf numFmtId="3" fontId="10" fillId="0" borderId="10" xfId="0" applyNumberFormat="1" applyFont="1" applyBorder="1" applyAlignment="1">
      <alignment horizontal="center" vertical="center" wrapText="1"/>
    </xf>
    <xf numFmtId="2" fontId="3" fillId="0" borderId="26" xfId="0" applyNumberFormat="1" applyFont="1" applyBorder="1" applyAlignment="1">
      <alignment horizontal="center" vertical="center"/>
    </xf>
    <xf numFmtId="1" fontId="10" fillId="3" borderId="15" xfId="0" applyNumberFormat="1" applyFont="1" applyFill="1" applyBorder="1" applyAlignment="1">
      <alignment horizontal="center"/>
    </xf>
    <xf numFmtId="0" fontId="10" fillId="0" borderId="0" xfId="0" applyFont="1"/>
    <xf numFmtId="10" fontId="3" fillId="0" borderId="9" xfId="0" applyNumberFormat="1" applyFont="1" applyBorder="1" applyAlignment="1">
      <alignment horizontal="center"/>
    </xf>
    <xf numFmtId="0" fontId="10" fillId="17" borderId="9" xfId="4" applyFont="1" applyFill="1" applyBorder="1" applyAlignment="1">
      <alignment horizontal="center" vertical="center"/>
    </xf>
    <xf numFmtId="0" fontId="10" fillId="17" borderId="9" xfId="4" applyFont="1" applyFill="1" applyBorder="1" applyAlignment="1">
      <alignment vertical="center"/>
    </xf>
    <xf numFmtId="0" fontId="10" fillId="17" borderId="2" xfId="4" applyNumberFormat="1" applyFont="1" applyFill="1" applyBorder="1" applyAlignment="1">
      <alignment horizontal="center" vertical="center"/>
    </xf>
    <xf numFmtId="9" fontId="10" fillId="17" borderId="1" xfId="3" applyFont="1" applyFill="1" applyBorder="1" applyAlignment="1">
      <alignment horizontal="center" vertical="center"/>
    </xf>
    <xf numFmtId="9" fontId="10" fillId="17" borderId="1" xfId="3" applyFont="1" applyFill="1" applyBorder="1" applyAlignment="1">
      <alignment vertical="center"/>
    </xf>
    <xf numFmtId="2" fontId="11" fillId="17" borderId="1" xfId="4" applyNumberFormat="1" applyFont="1" applyFill="1" applyBorder="1" applyAlignment="1">
      <alignment horizontal="center" vertical="center"/>
    </xf>
    <xf numFmtId="2" fontId="11" fillId="17" borderId="1" xfId="4" applyNumberFormat="1" applyFont="1" applyFill="1" applyBorder="1" applyAlignment="1">
      <alignment horizontal="center" vertical="center" wrapText="1"/>
    </xf>
    <xf numFmtId="2" fontId="10" fillId="17" borderId="1" xfId="0" applyNumberFormat="1" applyFont="1" applyFill="1" applyBorder="1" applyAlignment="1">
      <alignment horizontal="center" vertical="center"/>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2" fontId="10" fillId="0" borderId="0" xfId="0" applyNumberFormat="1" applyFont="1" applyAlignment="1">
      <alignment horizontal="center" vertical="center"/>
    </xf>
    <xf numFmtId="0" fontId="3" fillId="0" borderId="8" xfId="0" applyFont="1" applyBorder="1" applyAlignment="1">
      <alignment horizontal="center" vertical="center"/>
    </xf>
    <xf numFmtId="0" fontId="10" fillId="0" borderId="9" xfId="0" applyFont="1" applyBorder="1" applyAlignment="1">
      <alignment horizontal="left" vertical="center"/>
    </xf>
    <xf numFmtId="1" fontId="10" fillId="0" borderId="9" xfId="0" applyNumberFormat="1" applyFont="1" applyBorder="1" applyAlignment="1">
      <alignment horizontal="center" vertical="center"/>
    </xf>
    <xf numFmtId="2" fontId="9" fillId="0" borderId="9" xfId="0" applyNumberFormat="1" applyFont="1" applyBorder="1" applyAlignment="1">
      <alignment horizontal="center" vertical="center"/>
    </xf>
    <xf numFmtId="10" fontId="9" fillId="0" borderId="9" xfId="3" applyNumberFormat="1" applyFont="1" applyFill="1" applyBorder="1" applyAlignment="1">
      <alignment horizontal="center" vertical="center"/>
    </xf>
    <xf numFmtId="2" fontId="9" fillId="0" borderId="9" xfId="3" applyNumberFormat="1" applyFont="1" applyFill="1" applyBorder="1" applyAlignment="1">
      <alignment horizontal="center" vertical="center"/>
    </xf>
    <xf numFmtId="2" fontId="3" fillId="0" borderId="9" xfId="0" applyNumberFormat="1" applyFont="1" applyBorder="1" applyAlignment="1">
      <alignment horizontal="center"/>
    </xf>
    <xf numFmtId="0" fontId="10" fillId="0" borderId="11" xfId="0" applyFont="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3" fontId="8" fillId="4" borderId="1" xfId="0" applyNumberFormat="1" applyFont="1" applyFill="1" applyBorder="1" applyAlignment="1">
      <alignment vertical="center"/>
    </xf>
    <xf numFmtId="2" fontId="3" fillId="0" borderId="1" xfId="0" applyNumberFormat="1" applyFont="1" applyBorder="1" applyAlignment="1">
      <alignment horizontal="center"/>
    </xf>
    <xf numFmtId="2" fontId="8" fillId="0" borderId="1" xfId="0" applyNumberFormat="1" applyFont="1" applyBorder="1" applyAlignment="1">
      <alignment horizontal="center" vertical="center"/>
    </xf>
    <xf numFmtId="2" fontId="10" fillId="0" borderId="1" xfId="0" applyNumberFormat="1" applyFont="1" applyBorder="1" applyAlignment="1">
      <alignment horizont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3" fontId="8" fillId="0" borderId="9" xfId="0" applyNumberFormat="1" applyFont="1" applyBorder="1" applyAlignment="1">
      <alignment horizontal="center" vertical="center"/>
    </xf>
    <xf numFmtId="2" fontId="8" fillId="0" borderId="9" xfId="0" applyNumberFormat="1" applyFont="1" applyBorder="1" applyAlignment="1">
      <alignment horizontal="center" vertical="center"/>
    </xf>
    <xf numFmtId="169" fontId="9" fillId="0" borderId="0" xfId="0" applyNumberFormat="1" applyFont="1" applyAlignment="1">
      <alignment horizontal="center" vertical="center"/>
    </xf>
    <xf numFmtId="2" fontId="9" fillId="0" borderId="0" xfId="0" applyNumberFormat="1" applyFont="1" applyAlignment="1">
      <alignment horizontal="center" vertical="center"/>
    </xf>
    <xf numFmtId="0" fontId="3" fillId="0" borderId="0" xfId="0" quotePrefix="1" applyFont="1" applyAlignment="1">
      <alignment horizontal="center" vertical="center"/>
    </xf>
    <xf numFmtId="3" fontId="9" fillId="0" borderId="0" xfId="0" applyNumberFormat="1" applyFont="1" applyAlignment="1">
      <alignment horizontal="center" vertical="center"/>
    </xf>
    <xf numFmtId="2" fontId="9" fillId="0" borderId="0" xfId="6" applyNumberFormat="1"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3" fontId="8" fillId="0" borderId="15" xfId="0" applyNumberFormat="1" applyFont="1" applyBorder="1" applyAlignment="1">
      <alignment horizontal="center" vertical="center"/>
    </xf>
    <xf numFmtId="2" fontId="8" fillId="0" borderId="15" xfId="0" applyNumberFormat="1" applyFont="1" applyBorder="1" applyAlignment="1">
      <alignment horizontal="center" vertical="center"/>
    </xf>
    <xf numFmtId="3" fontId="9" fillId="0" borderId="8" xfId="0" applyNumberFormat="1" applyFont="1" applyBorder="1" applyAlignment="1">
      <alignment horizontal="center" vertical="center"/>
    </xf>
    <xf numFmtId="170" fontId="9" fillId="0" borderId="27" xfId="3" applyNumberFormat="1" applyFont="1" applyFill="1" applyBorder="1" applyAlignment="1">
      <alignment horizontal="center" vertical="center"/>
    </xf>
    <xf numFmtId="0" fontId="10" fillId="0" borderId="1" xfId="0" applyFont="1" applyBorder="1" applyAlignment="1">
      <alignment horizontal="center" vertical="center"/>
    </xf>
    <xf numFmtId="3" fontId="8" fillId="0" borderId="11" xfId="0" applyNumberFormat="1" applyFont="1" applyBorder="1" applyAlignment="1">
      <alignment horizontal="center" vertical="center"/>
    </xf>
    <xf numFmtId="166" fontId="9" fillId="0" borderId="0" xfId="6" applyNumberFormat="1"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0" fontId="7" fillId="17" borderId="8" xfId="5" applyFont="1" applyFill="1" applyBorder="1" applyAlignment="1">
      <alignment horizontal="center" vertical="center"/>
    </xf>
    <xf numFmtId="0" fontId="7" fillId="17" borderId="9" xfId="5" applyFont="1" applyFill="1" applyBorder="1" applyAlignment="1">
      <alignment horizontal="center" vertical="center"/>
    </xf>
    <xf numFmtId="2" fontId="9" fillId="17" borderId="10" xfId="0" applyNumberFormat="1" applyFont="1" applyFill="1" applyBorder="1" applyAlignment="1">
      <alignment horizontal="center" vertical="center"/>
    </xf>
    <xf numFmtId="0" fontId="7" fillId="17" borderId="27" xfId="0" applyFont="1" applyFill="1" applyBorder="1" applyAlignment="1">
      <alignment horizontal="center" vertical="center"/>
    </xf>
    <xf numFmtId="0" fontId="7" fillId="17" borderId="0" xfId="0" applyFont="1" applyFill="1" applyAlignment="1">
      <alignment horizontal="center" vertical="center"/>
    </xf>
    <xf numFmtId="2" fontId="9" fillId="17" borderId="26" xfId="0" applyNumberFormat="1" applyFont="1" applyFill="1" applyBorder="1" applyAlignment="1">
      <alignment horizontal="center" vertical="center"/>
    </xf>
    <xf numFmtId="0" fontId="7" fillId="17" borderId="11" xfId="0" applyFont="1" applyFill="1" applyBorder="1" applyAlignment="1">
      <alignment horizontal="center" vertical="center"/>
    </xf>
    <xf numFmtId="0" fontId="7" fillId="17" borderId="1" xfId="0" applyFont="1" applyFill="1" applyBorder="1" applyAlignment="1">
      <alignment horizontal="center" vertical="center"/>
    </xf>
    <xf numFmtId="2" fontId="9" fillId="17" borderId="12" xfId="0" applyNumberFormat="1" applyFont="1" applyFill="1" applyBorder="1" applyAlignment="1">
      <alignment horizontal="center" vertical="center"/>
    </xf>
    <xf numFmtId="2" fontId="3" fillId="0" borderId="0" xfId="6" applyNumberFormat="1" applyFont="1" applyFill="1" applyBorder="1" applyAlignment="1">
      <alignment horizontal="center"/>
    </xf>
    <xf numFmtId="0" fontId="3" fillId="0" borderId="11" xfId="0" applyFont="1" applyBorder="1" applyAlignment="1">
      <alignment horizontal="center"/>
    </xf>
    <xf numFmtId="0" fontId="3" fillId="0" borderId="1" xfId="0" applyFont="1" applyBorder="1"/>
    <xf numFmtId="2" fontId="9" fillId="0" borderId="0" xfId="0" applyNumberFormat="1" applyFont="1" applyAlignment="1">
      <alignment horizontal="center" vertical="center" wrapText="1"/>
    </xf>
    <xf numFmtId="0" fontId="3" fillId="0" borderId="2" xfId="0" applyFont="1" applyBorder="1" applyAlignment="1">
      <alignment horizontal="left"/>
    </xf>
    <xf numFmtId="170" fontId="10" fillId="0" borderId="2" xfId="0" applyNumberFormat="1" applyFont="1" applyBorder="1" applyAlignment="1" applyProtection="1">
      <alignment horizontal="center"/>
      <protection locked="0"/>
    </xf>
    <xf numFmtId="2" fontId="8" fillId="0" borderId="0" xfId="0" applyNumberFormat="1" applyFont="1" applyAlignment="1">
      <alignment horizontal="center" vertical="center" wrapText="1"/>
    </xf>
    <xf numFmtId="0" fontId="10" fillId="0" borderId="2" xfId="0" applyFont="1" applyBorder="1" applyAlignment="1" applyProtection="1">
      <alignment horizontal="center"/>
      <protection locked="0"/>
    </xf>
    <xf numFmtId="2" fontId="8" fillId="0" borderId="0" xfId="0" applyNumberFormat="1" applyFont="1" applyAlignment="1">
      <alignment horizontal="center" vertical="center"/>
    </xf>
    <xf numFmtId="4" fontId="10" fillId="0" borderId="12" xfId="0" applyNumberFormat="1" applyFont="1" applyBorder="1" applyAlignment="1">
      <alignment horizontal="center" vertical="center" wrapText="1"/>
    </xf>
    <xf numFmtId="2" fontId="8" fillId="0" borderId="12" xfId="0" applyNumberFormat="1" applyFont="1" applyBorder="1" applyAlignment="1">
      <alignment horizontal="center" vertical="center"/>
    </xf>
    <xf numFmtId="2" fontId="8" fillId="0" borderId="26" xfId="0" applyNumberFormat="1" applyFont="1" applyBorder="1" applyAlignment="1">
      <alignment horizontal="center" vertical="center"/>
    </xf>
    <xf numFmtId="0" fontId="3" fillId="0" borderId="26" xfId="0" applyFont="1" applyBorder="1" applyAlignment="1">
      <alignment horizontal="center"/>
    </xf>
    <xf numFmtId="0" fontId="3" fillId="0" borderId="1" xfId="0" applyFont="1" applyBorder="1" applyAlignment="1">
      <alignment horizontal="center"/>
    </xf>
    <xf numFmtId="0" fontId="3" fillId="4" borderId="9" xfId="0" applyFont="1" applyFill="1" applyBorder="1" applyAlignment="1">
      <alignment horizontal="center"/>
    </xf>
    <xf numFmtId="0" fontId="10" fillId="17" borderId="0" xfId="4" applyNumberFormat="1" applyFont="1" applyFill="1" applyBorder="1" applyAlignment="1">
      <alignment horizontal="center" vertical="center"/>
    </xf>
    <xf numFmtId="0" fontId="10" fillId="17" borderId="27" xfId="4" applyFont="1" applyFill="1" applyBorder="1" applyAlignment="1">
      <alignment vertical="center"/>
    </xf>
    <xf numFmtId="0" fontId="10" fillId="17" borderId="11" xfId="4" applyFont="1" applyFill="1" applyBorder="1" applyAlignment="1">
      <alignment vertical="center"/>
    </xf>
    <xf numFmtId="0" fontId="50" fillId="0" borderId="0" xfId="0" applyFont="1"/>
    <xf numFmtId="3" fontId="8" fillId="4" borderId="1" xfId="0" applyNumberFormat="1" applyFont="1" applyFill="1" applyBorder="1" applyAlignment="1">
      <alignment horizontal="center" vertical="center"/>
    </xf>
    <xf numFmtId="2" fontId="3" fillId="0" borderId="1" xfId="0" applyNumberFormat="1" applyFont="1" applyBorder="1" applyAlignment="1">
      <alignment horizontal="center" vertical="center"/>
    </xf>
    <xf numFmtId="4" fontId="8" fillId="0" borderId="9" xfId="0" applyNumberFormat="1" applyFont="1" applyBorder="1" applyAlignment="1">
      <alignment vertical="center"/>
    </xf>
    <xf numFmtId="0" fontId="50" fillId="0" borderId="0" xfId="0" applyFont="1" applyAlignment="1">
      <alignment horizontal="center"/>
    </xf>
    <xf numFmtId="0" fontId="50" fillId="17" borderId="0" xfId="0" applyFont="1" applyFill="1"/>
    <xf numFmtId="0" fontId="50" fillId="17" borderId="0" xfId="0" applyFont="1" applyFill="1" applyAlignment="1">
      <alignment horizontal="center"/>
    </xf>
    <xf numFmtId="0" fontId="52" fillId="0" borderId="0" xfId="0" applyFont="1"/>
    <xf numFmtId="0" fontId="50" fillId="16" borderId="0" xfId="0" applyFont="1" applyFill="1"/>
    <xf numFmtId="175" fontId="50" fillId="0" borderId="0" xfId="0" applyNumberFormat="1" applyFont="1"/>
    <xf numFmtId="176" fontId="52" fillId="0" borderId="0" xfId="0" applyNumberFormat="1" applyFont="1"/>
    <xf numFmtId="0" fontId="51" fillId="0" borderId="0" xfId="0" applyFont="1"/>
    <xf numFmtId="0" fontId="50" fillId="0" borderId="0" xfId="0" applyFont="1" applyAlignment="1">
      <alignment horizontal="left" vertical="center"/>
    </xf>
    <xf numFmtId="177" fontId="50" fillId="0" borderId="0" xfId="0" applyNumberFormat="1" applyFont="1"/>
    <xf numFmtId="177" fontId="50" fillId="0" borderId="0" xfId="0" applyNumberFormat="1" applyFont="1" applyAlignment="1">
      <alignment horizontal="center"/>
    </xf>
    <xf numFmtId="177" fontId="50" fillId="0" borderId="0" xfId="0" applyNumberFormat="1" applyFont="1" applyAlignment="1">
      <alignment horizontal="center" vertical="center"/>
    </xf>
    <xf numFmtId="0" fontId="50" fillId="22" borderId="0" xfId="0" applyFont="1" applyFill="1"/>
    <xf numFmtId="170" fontId="3" fillId="0" borderId="0" xfId="3" applyNumberFormat="1" applyFont="1" applyFill="1" applyBorder="1" applyAlignment="1">
      <alignment horizontal="center" vertical="top" wrapText="1"/>
    </xf>
    <xf numFmtId="9" fontId="3" fillId="19" borderId="0" xfId="3" applyFont="1" applyFill="1" applyBorder="1" applyAlignment="1">
      <alignment horizontal="center" vertical="top" wrapText="1"/>
    </xf>
    <xf numFmtId="2" fontId="0" fillId="0" borderId="0" xfId="0" applyNumberFormat="1"/>
    <xf numFmtId="164" fontId="0" fillId="0" borderId="0" xfId="1" applyFont="1" applyBorder="1"/>
    <xf numFmtId="10" fontId="9" fillId="0" borderId="0" xfId="3" applyNumberFormat="1" applyFont="1" applyFill="1" applyBorder="1" applyAlignment="1">
      <alignment horizontal="center" vertical="center"/>
    </xf>
    <xf numFmtId="10" fontId="3" fillId="0" borderId="0" xfId="3" applyNumberFormat="1" applyFont="1" applyFill="1" applyBorder="1" applyAlignment="1">
      <alignment horizontal="center" vertical="center"/>
    </xf>
    <xf numFmtId="37" fontId="9" fillId="0" borderId="0" xfId="1" applyNumberFormat="1" applyFont="1" applyFill="1" applyBorder="1" applyAlignment="1">
      <alignment horizontal="center" vertical="center"/>
    </xf>
    <xf numFmtId="0" fontId="10" fillId="4" borderId="27" xfId="0" applyFont="1" applyFill="1" applyBorder="1" applyAlignment="1">
      <alignment horizontal="center" wrapText="1"/>
    </xf>
    <xf numFmtId="0" fontId="10" fillId="4" borderId="26" xfId="0" applyFont="1" applyFill="1" applyBorder="1" applyAlignment="1">
      <alignment horizontal="center" wrapText="1"/>
    </xf>
    <xf numFmtId="0" fontId="3" fillId="19" borderId="27" xfId="0" applyFont="1" applyFill="1" applyBorder="1" applyAlignment="1">
      <alignment horizontal="center" wrapText="1"/>
    </xf>
    <xf numFmtId="2" fontId="3" fillId="19" borderId="26" xfId="0" applyNumberFormat="1" applyFont="1" applyFill="1" applyBorder="1" applyAlignment="1">
      <alignment horizontal="center"/>
    </xf>
    <xf numFmtId="0" fontId="10" fillId="4" borderId="26" xfId="0" applyFont="1" applyFill="1" applyBorder="1" applyAlignment="1">
      <alignment horizontal="center" vertical="top" wrapText="1"/>
    </xf>
    <xf numFmtId="2" fontId="3" fillId="19" borderId="26" xfId="0" applyNumberFormat="1" applyFont="1" applyFill="1" applyBorder="1" applyAlignment="1">
      <alignment horizontal="center" vertical="top"/>
    </xf>
    <xf numFmtId="2" fontId="3" fillId="0" borderId="26" xfId="0" applyNumberFormat="1" applyFont="1" applyBorder="1" applyAlignment="1">
      <alignment horizontal="center" vertical="top"/>
    </xf>
    <xf numFmtId="0" fontId="10" fillId="4" borderId="9" xfId="0" applyFont="1" applyFill="1" applyBorder="1" applyAlignment="1">
      <alignment horizontal="center" vertical="center" wrapText="1"/>
    </xf>
    <xf numFmtId="2" fontId="10" fillId="4" borderId="10" xfId="0" applyNumberFormat="1" applyFont="1" applyFill="1" applyBorder="1" applyAlignment="1">
      <alignment horizontal="center" vertical="center"/>
    </xf>
    <xf numFmtId="0" fontId="3" fillId="4" borderId="11" xfId="0" applyFont="1" applyFill="1" applyBorder="1" applyAlignment="1">
      <alignment horizontal="center" wrapText="1"/>
    </xf>
    <xf numFmtId="0" fontId="3" fillId="4" borderId="1" xfId="0" applyFont="1" applyFill="1" applyBorder="1" applyAlignment="1">
      <alignment horizontal="center" wrapText="1"/>
    </xf>
    <xf numFmtId="0" fontId="8" fillId="4" borderId="1" xfId="0" applyFont="1" applyFill="1" applyBorder="1" applyAlignment="1">
      <alignment horizontal="center" vertical="center"/>
    </xf>
    <xf numFmtId="2" fontId="3" fillId="4" borderId="12" xfId="0" applyNumberFormat="1" applyFont="1" applyFill="1" applyBorder="1" applyAlignment="1">
      <alignment horizontal="center"/>
    </xf>
    <xf numFmtId="2" fontId="3" fillId="23" borderId="26" xfId="0" applyNumberFormat="1" applyFont="1" applyFill="1" applyBorder="1" applyAlignment="1">
      <alignment horizontal="center"/>
    </xf>
    <xf numFmtId="0" fontId="10" fillId="4" borderId="8" xfId="0" applyFont="1" applyFill="1" applyBorder="1" applyAlignment="1">
      <alignment horizontal="center" vertical="top" wrapText="1"/>
    </xf>
    <xf numFmtId="2" fontId="10" fillId="4" borderId="10" xfId="0" applyNumberFormat="1" applyFont="1" applyFill="1" applyBorder="1" applyAlignment="1">
      <alignment horizontal="center" vertical="top"/>
    </xf>
    <xf numFmtId="0" fontId="3" fillId="4" borderId="11" xfId="0" applyFont="1" applyFill="1" applyBorder="1" applyAlignment="1">
      <alignment horizontal="center" vertical="top" wrapText="1"/>
    </xf>
    <xf numFmtId="0" fontId="10" fillId="4" borderId="8" xfId="0" applyFont="1" applyFill="1" applyBorder="1" applyAlignment="1">
      <alignment horizontal="center" vertical="center" wrapText="1"/>
    </xf>
    <xf numFmtId="0" fontId="9" fillId="23" borderId="27" xfId="0" applyFont="1" applyFill="1" applyBorder="1" applyAlignment="1">
      <alignment horizontal="center" vertical="center"/>
    </xf>
    <xf numFmtId="0" fontId="0" fillId="23" borderId="26" xfId="0" applyFill="1" applyBorder="1" applyAlignment="1">
      <alignment horizontal="center"/>
    </xf>
    <xf numFmtId="0" fontId="10" fillId="4" borderId="1" xfId="0" applyFont="1" applyFill="1" applyBorder="1" applyAlignment="1">
      <alignment horizontal="center" wrapText="1"/>
    </xf>
    <xf numFmtId="0" fontId="3" fillId="0" borderId="8" xfId="0" applyFont="1" applyBorder="1" applyAlignment="1">
      <alignment horizontal="center"/>
    </xf>
    <xf numFmtId="0" fontId="3" fillId="0" borderId="9" xfId="0" applyFont="1" applyBorder="1"/>
    <xf numFmtId="1" fontId="3" fillId="0" borderId="10" xfId="0" applyNumberFormat="1" applyFont="1" applyBorder="1" applyAlignment="1">
      <alignment horizontal="center"/>
    </xf>
    <xf numFmtId="1" fontId="3" fillId="0" borderId="1" xfId="0" applyNumberFormat="1" applyFont="1" applyBorder="1" applyAlignment="1">
      <alignment horizontal="center"/>
    </xf>
    <xf numFmtId="0" fontId="33" fillId="0" borderId="0" xfId="0" applyFont="1"/>
    <xf numFmtId="167" fontId="10" fillId="0" borderId="2" xfId="0" applyNumberFormat="1" applyFont="1" applyBorder="1" applyAlignment="1" applyProtection="1">
      <alignment horizontal="center"/>
      <protection locked="0"/>
    </xf>
    <xf numFmtId="0" fontId="9" fillId="0" borderId="0" xfId="0" applyFont="1" applyAlignment="1">
      <alignment vertical="top" wrapText="1"/>
    </xf>
    <xf numFmtId="0" fontId="3" fillId="0" borderId="11" xfId="0" applyFont="1" applyBorder="1" applyAlignment="1">
      <alignment horizontal="left"/>
    </xf>
    <xf numFmtId="0" fontId="3" fillId="0" borderId="1" xfId="0" applyFont="1" applyBorder="1" applyAlignment="1">
      <alignment horizontal="left"/>
    </xf>
    <xf numFmtId="0" fontId="51" fillId="0" borderId="1" xfId="0" applyFont="1" applyBorder="1" applyAlignment="1">
      <alignment horizontal="center"/>
    </xf>
    <xf numFmtId="2" fontId="50" fillId="0" borderId="0" xfId="6" applyNumberFormat="1" applyFont="1" applyFill="1" applyBorder="1" applyAlignment="1">
      <alignment horizontal="center"/>
    </xf>
    <xf numFmtId="2" fontId="50" fillId="0" borderId="26" xfId="6" applyNumberFormat="1" applyFont="1" applyFill="1" applyBorder="1" applyAlignment="1">
      <alignment horizontal="center"/>
    </xf>
    <xf numFmtId="2" fontId="8" fillId="17" borderId="9" xfId="6" applyNumberFormat="1" applyFont="1" applyFill="1" applyBorder="1" applyAlignment="1">
      <alignment horizontal="center" vertical="center"/>
    </xf>
    <xf numFmtId="2" fontId="7" fillId="17" borderId="1" xfId="6" applyNumberFormat="1" applyFont="1" applyFill="1" applyBorder="1" applyAlignment="1">
      <alignment horizontal="center"/>
    </xf>
    <xf numFmtId="10" fontId="8" fillId="17" borderId="0" xfId="3" applyNumberFormat="1" applyFont="1" applyFill="1" applyBorder="1" applyAlignment="1">
      <alignment horizontal="center" vertical="center"/>
    </xf>
    <xf numFmtId="2" fontId="3" fillId="0" borderId="9" xfId="6" applyNumberFormat="1" applyFont="1" applyFill="1" applyBorder="1" applyAlignment="1">
      <alignment horizontal="center"/>
    </xf>
    <xf numFmtId="2" fontId="3" fillId="0" borderId="10" xfId="6" applyNumberFormat="1" applyFont="1" applyFill="1" applyBorder="1" applyAlignment="1">
      <alignment horizontal="center"/>
    </xf>
    <xf numFmtId="0" fontId="51" fillId="0" borderId="0" xfId="0" applyFont="1" applyAlignment="1">
      <alignment horizontal="center"/>
    </xf>
    <xf numFmtId="2" fontId="50" fillId="0" borderId="1" xfId="6" applyNumberFormat="1" applyFont="1" applyFill="1" applyBorder="1" applyAlignment="1">
      <alignment horizontal="center"/>
    </xf>
    <xf numFmtId="2" fontId="50" fillId="0" borderId="12" xfId="6" applyNumberFormat="1" applyFont="1" applyFill="1" applyBorder="1" applyAlignment="1">
      <alignment horizontal="center"/>
    </xf>
    <xf numFmtId="2" fontId="3" fillId="0" borderId="26" xfId="6" applyNumberFormat="1" applyFont="1" applyFill="1" applyBorder="1" applyAlignment="1">
      <alignment horizontal="center"/>
    </xf>
    <xf numFmtId="0" fontId="7" fillId="17" borderId="4" xfId="0" applyFont="1" applyFill="1" applyBorder="1" applyAlignment="1">
      <alignment horizontal="center" vertical="center"/>
    </xf>
    <xf numFmtId="0" fontId="7" fillId="17" borderId="15" xfId="0" applyFont="1" applyFill="1" applyBorder="1" applyAlignment="1">
      <alignment horizontal="center" vertical="center"/>
    </xf>
    <xf numFmtId="2" fontId="7" fillId="17" borderId="15" xfId="6" applyNumberFormat="1" applyFont="1" applyFill="1" applyBorder="1" applyAlignment="1">
      <alignment horizontal="center"/>
    </xf>
    <xf numFmtId="2" fontId="9" fillId="17" borderId="7" xfId="0" applyNumberFormat="1" applyFont="1" applyFill="1" applyBorder="1" applyAlignment="1">
      <alignment horizontal="center" vertical="center"/>
    </xf>
    <xf numFmtId="2" fontId="7" fillId="17" borderId="15" xfId="6" applyNumberFormat="1" applyFont="1" applyFill="1" applyBorder="1" applyAlignment="1">
      <alignment horizontal="center" vertical="center"/>
    </xf>
    <xf numFmtId="0" fontId="3" fillId="0" borderId="0" xfId="0" applyFont="1" applyAlignment="1">
      <alignment vertical="top"/>
    </xf>
    <xf numFmtId="0" fontId="9" fillId="0" borderId="0" xfId="0" applyFont="1" applyAlignment="1">
      <alignment horizontal="right" vertical="top" wrapText="1"/>
    </xf>
    <xf numFmtId="0" fontId="3" fillId="0" borderId="0" xfId="0" applyFont="1" applyAlignment="1">
      <alignment vertical="center"/>
    </xf>
    <xf numFmtId="1" fontId="3" fillId="0" borderId="27" xfId="0" applyNumberFormat="1" applyFont="1" applyBorder="1" applyAlignment="1">
      <alignment horizontal="left"/>
    </xf>
    <xf numFmtId="1" fontId="3" fillId="0" borderId="14" xfId="0" applyNumberFormat="1" applyFont="1" applyBorder="1" applyAlignment="1">
      <alignment horizontal="left"/>
    </xf>
    <xf numFmtId="165" fontId="3" fillId="0" borderId="14" xfId="1" applyNumberFormat="1" applyFont="1" applyBorder="1" applyAlignment="1"/>
    <xf numFmtId="1" fontId="3" fillId="0" borderId="14" xfId="0" applyNumberFormat="1" applyFont="1" applyBorder="1"/>
    <xf numFmtId="1" fontId="3" fillId="0" borderId="14" xfId="0" applyNumberFormat="1" applyFont="1" applyBorder="1" applyAlignment="1">
      <alignment horizontal="center"/>
    </xf>
    <xf numFmtId="1" fontId="8" fillId="17" borderId="6" xfId="0" applyNumberFormat="1" applyFont="1" applyFill="1" applyBorder="1" applyAlignment="1">
      <alignment horizontal="center" vertical="center" wrapText="1"/>
    </xf>
    <xf numFmtId="1" fontId="9" fillId="17" borderId="6" xfId="0" applyNumberFormat="1" applyFont="1" applyFill="1" applyBorder="1" applyAlignment="1">
      <alignment horizontal="center" vertical="center" wrapText="1"/>
    </xf>
    <xf numFmtId="165" fontId="3" fillId="17" borderId="6" xfId="1" applyNumberFormat="1" applyFont="1" applyFill="1" applyBorder="1" applyAlignment="1">
      <alignment horizontal="center"/>
    </xf>
    <xf numFmtId="1" fontId="3" fillId="17" borderId="6" xfId="0" applyNumberFormat="1" applyFont="1" applyFill="1" applyBorder="1" applyAlignment="1">
      <alignment horizontal="center"/>
    </xf>
    <xf numFmtId="1" fontId="3" fillId="17" borderId="10" xfId="0" applyNumberFormat="1" applyFont="1" applyFill="1" applyBorder="1" applyAlignment="1">
      <alignment horizontal="center"/>
    </xf>
    <xf numFmtId="1" fontId="8" fillId="17" borderId="14" xfId="0" applyNumberFormat="1" applyFont="1" applyFill="1" applyBorder="1" applyAlignment="1">
      <alignment horizontal="center" vertical="center" wrapText="1"/>
    </xf>
    <xf numFmtId="1" fontId="9" fillId="17" borderId="14" xfId="0" applyNumberFormat="1" applyFont="1" applyFill="1" applyBorder="1" applyAlignment="1">
      <alignment horizontal="center" vertical="center" wrapText="1"/>
    </xf>
    <xf numFmtId="165" fontId="3" fillId="17" borderId="14" xfId="1" applyNumberFormat="1" applyFont="1" applyFill="1" applyBorder="1" applyAlignment="1">
      <alignment horizontal="center"/>
    </xf>
    <xf numFmtId="1" fontId="3" fillId="17" borderId="14" xfId="0" applyNumberFormat="1" applyFont="1" applyFill="1" applyBorder="1" applyAlignment="1">
      <alignment horizontal="center"/>
    </xf>
    <xf numFmtId="1" fontId="3" fillId="17" borderId="26" xfId="0" applyNumberFormat="1" applyFont="1" applyFill="1" applyBorder="1" applyAlignment="1">
      <alignment horizontal="center"/>
    </xf>
    <xf numFmtId="1" fontId="8" fillId="17" borderId="5" xfId="0" applyNumberFormat="1" applyFont="1" applyFill="1" applyBorder="1" applyAlignment="1">
      <alignment horizontal="center" vertical="center" wrapText="1"/>
    </xf>
    <xf numFmtId="1" fontId="9" fillId="17" borderId="5" xfId="0" applyNumberFormat="1" applyFont="1" applyFill="1" applyBorder="1" applyAlignment="1">
      <alignment horizontal="center" vertical="center" wrapText="1"/>
    </xf>
    <xf numFmtId="165" fontId="3" fillId="17" borderId="5" xfId="1" applyNumberFormat="1" applyFont="1" applyFill="1" applyBorder="1" applyAlignment="1">
      <alignment horizontal="center"/>
    </xf>
    <xf numFmtId="1" fontId="3" fillId="17" borderId="5" xfId="0" applyNumberFormat="1" applyFont="1" applyFill="1" applyBorder="1" applyAlignment="1">
      <alignment horizontal="center"/>
    </xf>
    <xf numFmtId="1" fontId="3" fillId="17" borderId="12" xfId="0" applyNumberFormat="1" applyFont="1" applyFill="1" applyBorder="1" applyAlignment="1">
      <alignment horizontal="center"/>
    </xf>
    <xf numFmtId="165" fontId="3" fillId="0" borderId="1" xfId="1" applyNumberFormat="1" applyFont="1" applyBorder="1" applyAlignment="1"/>
    <xf numFmtId="0" fontId="3" fillId="0" borderId="12" xfId="0" applyFont="1" applyBorder="1" applyAlignment="1">
      <alignment horizontal="center"/>
    </xf>
    <xf numFmtId="0" fontId="3" fillId="0" borderId="0" xfId="0" applyFont="1" applyAlignment="1">
      <alignment horizontal="left"/>
    </xf>
    <xf numFmtId="165" fontId="3" fillId="0" borderId="0" xfId="1" applyNumberFormat="1" applyFont="1" applyAlignment="1"/>
    <xf numFmtId="4" fontId="8" fillId="0" borderId="9" xfId="0" applyNumberFormat="1" applyFont="1" applyBorder="1" applyAlignment="1">
      <alignment horizontal="center" vertical="center"/>
    </xf>
    <xf numFmtId="0" fontId="3" fillId="4" borderId="11" xfId="0" applyFont="1" applyFill="1" applyBorder="1" applyAlignment="1">
      <alignment horizontal="center" vertical="center"/>
    </xf>
    <xf numFmtId="0" fontId="3" fillId="4" borderId="1" xfId="0" applyFont="1" applyFill="1" applyBorder="1" applyAlignment="1">
      <alignment horizontal="center" vertical="center"/>
    </xf>
    <xf numFmtId="2" fontId="10" fillId="4" borderId="12" xfId="0" applyNumberFormat="1" applyFont="1" applyFill="1" applyBorder="1" applyAlignment="1">
      <alignment horizontal="center" vertical="center"/>
    </xf>
    <xf numFmtId="0" fontId="7" fillId="0" borderId="8" xfId="0" applyFont="1" applyBorder="1" applyAlignment="1">
      <alignment horizontal="center" vertical="center"/>
    </xf>
    <xf numFmtId="0" fontId="7" fillId="0" borderId="10" xfId="0" applyFont="1" applyBorder="1" applyAlignment="1">
      <alignment horizontal="center" vertical="center"/>
    </xf>
    <xf numFmtId="0" fontId="4" fillId="0" borderId="27" xfId="0" applyFont="1" applyBorder="1" applyAlignment="1">
      <alignment vertical="center"/>
    </xf>
    <xf numFmtId="10" fontId="4" fillId="0" borderId="26" xfId="52" applyNumberFormat="1" applyFont="1" applyBorder="1" applyAlignment="1">
      <alignment horizontal="center" vertical="center"/>
    </xf>
    <xf numFmtId="0" fontId="4" fillId="0" borderId="26" xfId="0" applyFont="1" applyBorder="1" applyAlignment="1">
      <alignment horizontal="center" vertical="center"/>
    </xf>
    <xf numFmtId="10" fontId="4" fillId="0" borderId="26" xfId="0" applyNumberFormat="1" applyFont="1" applyBorder="1" applyAlignment="1">
      <alignment horizontal="center" vertical="center"/>
    </xf>
    <xf numFmtId="0" fontId="4" fillId="0" borderId="11" xfId="0" applyFont="1" applyBorder="1" applyAlignment="1">
      <alignment vertical="center"/>
    </xf>
    <xf numFmtId="10" fontId="4" fillId="0" borderId="12" xfId="0" applyNumberFormat="1" applyFont="1" applyBorder="1" applyAlignment="1">
      <alignment horizontal="center" vertical="center"/>
    </xf>
    <xf numFmtId="0" fontId="10" fillId="3" borderId="0" xfId="0" applyFont="1" applyFill="1" applyAlignment="1">
      <alignment horizontal="center" vertical="center"/>
    </xf>
    <xf numFmtId="0" fontId="10" fillId="3" borderId="6" xfId="0" applyFont="1" applyFill="1" applyBorder="1" applyAlignment="1">
      <alignment horizontal="center" vertical="center"/>
    </xf>
    <xf numFmtId="14" fontId="8" fillId="3" borderId="8" xfId="0" applyNumberFormat="1" applyFont="1" applyFill="1" applyBorder="1" applyAlignment="1">
      <alignment horizontal="center" vertical="center"/>
    </xf>
    <xf numFmtId="14" fontId="8" fillId="3" borderId="6" xfId="0" applyNumberFormat="1" applyFont="1" applyFill="1" applyBorder="1" applyAlignment="1">
      <alignment horizontal="center" vertical="center"/>
    </xf>
    <xf numFmtId="1" fontId="10" fillId="3" borderId="6" xfId="0" applyNumberFormat="1" applyFont="1" applyFill="1" applyBorder="1" applyAlignment="1">
      <alignment horizontal="center" vertical="center"/>
    </xf>
    <xf numFmtId="0" fontId="3" fillId="0" borderId="6" xfId="0" applyFont="1" applyBorder="1" applyAlignment="1">
      <alignment horizontal="center"/>
    </xf>
    <xf numFmtId="0" fontId="3" fillId="0" borderId="9" xfId="0" applyFont="1" applyBorder="1" applyAlignment="1">
      <alignment horizontal="center"/>
    </xf>
    <xf numFmtId="1" fontId="3" fillId="0" borderId="8" xfId="0" applyNumberFormat="1" applyFont="1" applyBorder="1" applyAlignment="1">
      <alignment horizontal="center"/>
    </xf>
    <xf numFmtId="1" fontId="3" fillId="0" borderId="6" xfId="0" applyNumberFormat="1" applyFont="1" applyBorder="1" applyAlignment="1">
      <alignment horizontal="center"/>
    </xf>
    <xf numFmtId="1" fontId="3" fillId="0" borderId="6" xfId="1" applyNumberFormat="1" applyFont="1" applyBorder="1" applyAlignment="1">
      <alignment horizontal="center"/>
    </xf>
    <xf numFmtId="1" fontId="10" fillId="3" borderId="0" xfId="0" applyNumberFormat="1" applyFont="1" applyFill="1" applyAlignment="1">
      <alignment horizontal="center"/>
    </xf>
    <xf numFmtId="0" fontId="3" fillId="0" borderId="14" xfId="0" applyFont="1" applyBorder="1" applyAlignment="1">
      <alignment horizontal="center"/>
    </xf>
    <xf numFmtId="1" fontId="3" fillId="0" borderId="27" xfId="0" applyNumberFormat="1" applyFont="1" applyBorder="1" applyAlignment="1">
      <alignment horizontal="center"/>
    </xf>
    <xf numFmtId="1" fontId="3" fillId="0" borderId="14" xfId="1" applyNumberFormat="1" applyFont="1" applyBorder="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5" xfId="0" applyFont="1" applyBorder="1" applyAlignment="1">
      <alignment horizontal="center"/>
    </xf>
    <xf numFmtId="1" fontId="3" fillId="0" borderId="11" xfId="0" applyNumberFormat="1" applyFont="1" applyBorder="1" applyAlignment="1">
      <alignment horizontal="center" vertical="center" wrapText="1"/>
    </xf>
    <xf numFmtId="1" fontId="3" fillId="0" borderId="5" xfId="0" applyNumberFormat="1" applyFont="1" applyBorder="1" applyAlignment="1">
      <alignment horizontal="center"/>
    </xf>
    <xf numFmtId="1" fontId="3" fillId="0" borderId="11" xfId="0" applyNumberFormat="1" applyFont="1" applyBorder="1" applyAlignment="1">
      <alignment horizontal="center"/>
    </xf>
    <xf numFmtId="0" fontId="3" fillId="0" borderId="10" xfId="0" applyFont="1" applyBorder="1" applyAlignment="1">
      <alignment horizontal="center"/>
    </xf>
    <xf numFmtId="1" fontId="9" fillId="0" borderId="9"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1" fontId="9" fillId="0" borderId="10" xfId="0" applyNumberFormat="1" applyFont="1" applyBorder="1" applyAlignment="1">
      <alignment horizontal="center" vertical="center" wrapText="1"/>
    </xf>
    <xf numFmtId="1" fontId="9" fillId="0" borderId="8" xfId="0" applyNumberFormat="1" applyFont="1" applyBorder="1" applyAlignment="1">
      <alignment horizontal="center" vertical="center" wrapText="1"/>
    </xf>
    <xf numFmtId="1" fontId="9" fillId="0" borderId="14"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5" borderId="6" xfId="0" applyNumberFormat="1" applyFont="1" applyFill="1" applyBorder="1" applyAlignment="1">
      <alignment horizontal="center" vertical="center"/>
    </xf>
    <xf numFmtId="1" fontId="9" fillId="5" borderId="8" xfId="0" applyNumberFormat="1" applyFont="1" applyFill="1" applyBorder="1" applyAlignment="1">
      <alignment horizontal="center" vertical="center"/>
    </xf>
    <xf numFmtId="1" fontId="9" fillId="0" borderId="0" xfId="0" applyNumberFormat="1" applyFont="1" applyAlignment="1">
      <alignment horizontal="center" vertical="center" wrapText="1"/>
    </xf>
    <xf numFmtId="1" fontId="9" fillId="0" borderId="26" xfId="0" applyNumberFormat="1" applyFont="1" applyBorder="1" applyAlignment="1">
      <alignment horizontal="center" vertical="center" wrapText="1"/>
    </xf>
    <xf numFmtId="1" fontId="9" fillId="0" borderId="27" xfId="0" applyNumberFormat="1" applyFont="1" applyBorder="1" applyAlignment="1">
      <alignment horizontal="center" vertical="center" wrapText="1"/>
    </xf>
    <xf numFmtId="1" fontId="9" fillId="0" borderId="14" xfId="1" applyNumberFormat="1" applyFont="1" applyBorder="1" applyAlignment="1">
      <alignment horizontal="center" vertical="center" wrapText="1"/>
    </xf>
    <xf numFmtId="1" fontId="9" fillId="5" borderId="14" xfId="0" applyNumberFormat="1" applyFont="1" applyFill="1" applyBorder="1" applyAlignment="1">
      <alignment horizontal="center" vertical="center"/>
    </xf>
    <xf numFmtId="1" fontId="9" fillId="5" borderId="27" xfId="0" applyNumberFormat="1" applyFont="1" applyFill="1" applyBorder="1" applyAlignment="1">
      <alignment horizontal="center" vertical="center"/>
    </xf>
    <xf numFmtId="1" fontId="9" fillId="0" borderId="1" xfId="0" applyNumberFormat="1" applyFont="1" applyBorder="1" applyAlignment="1">
      <alignment horizontal="center" vertical="center" wrapText="1"/>
    </xf>
    <xf numFmtId="1" fontId="9" fillId="0" borderId="5" xfId="0" applyNumberFormat="1" applyFont="1" applyBorder="1" applyAlignment="1">
      <alignment horizontal="center" vertical="center" wrapText="1"/>
    </xf>
    <xf numFmtId="1" fontId="9" fillId="0" borderId="12" xfId="0" applyNumberFormat="1" applyFont="1" applyBorder="1" applyAlignment="1">
      <alignment horizontal="center" vertical="center" wrapText="1"/>
    </xf>
    <xf numFmtId="1" fontId="9" fillId="0" borderId="11" xfId="0" applyNumberFormat="1" applyFont="1" applyBorder="1" applyAlignment="1">
      <alignment horizontal="center" vertical="center" wrapText="1"/>
    </xf>
    <xf numFmtId="1" fontId="9" fillId="0" borderId="5" xfId="1" applyNumberFormat="1" applyFont="1" applyBorder="1" applyAlignment="1">
      <alignment horizontal="center" vertical="center" wrapText="1"/>
    </xf>
    <xf numFmtId="1" fontId="9" fillId="5" borderId="5" xfId="0" applyNumberFormat="1" applyFont="1" applyFill="1" applyBorder="1" applyAlignment="1">
      <alignment horizontal="center" vertical="center"/>
    </xf>
    <xf numFmtId="1" fontId="9" fillId="5" borderId="11" xfId="0" applyNumberFormat="1" applyFont="1" applyFill="1" applyBorder="1" applyAlignment="1">
      <alignment horizontal="center" vertical="center"/>
    </xf>
    <xf numFmtId="0" fontId="3" fillId="4" borderId="6" xfId="0" applyFont="1" applyFill="1" applyBorder="1" applyAlignment="1">
      <alignment horizontal="center"/>
    </xf>
    <xf numFmtId="1" fontId="4" fillId="4" borderId="8" xfId="0" applyNumberFormat="1" applyFont="1" applyFill="1" applyBorder="1" applyAlignment="1">
      <alignment horizontal="center"/>
    </xf>
    <xf numFmtId="1" fontId="4" fillId="4" borderId="14" xfId="0" applyNumberFormat="1" applyFont="1" applyFill="1" applyBorder="1" applyAlignment="1">
      <alignment horizontal="center" vertical="center"/>
    </xf>
    <xf numFmtId="1" fontId="4" fillId="4" borderId="6" xfId="0" applyNumberFormat="1" applyFont="1" applyFill="1" applyBorder="1" applyAlignment="1">
      <alignment horizontal="center" vertical="center"/>
    </xf>
    <xf numFmtId="1" fontId="3" fillId="4" borderId="14" xfId="0" applyNumberFormat="1" applyFont="1" applyFill="1" applyBorder="1" applyAlignment="1">
      <alignment horizontal="center"/>
    </xf>
    <xf numFmtId="0" fontId="3" fillId="4" borderId="27" xfId="0" applyFont="1" applyFill="1" applyBorder="1" applyAlignment="1">
      <alignment horizontal="center"/>
    </xf>
    <xf numFmtId="0" fontId="3" fillId="4" borderId="14" xfId="0" applyFont="1" applyFill="1" applyBorder="1" applyAlignment="1">
      <alignment horizontal="center"/>
    </xf>
    <xf numFmtId="1" fontId="4" fillId="4" borderId="27" xfId="0" applyNumberFormat="1" applyFont="1" applyFill="1" applyBorder="1" applyAlignment="1">
      <alignment horizontal="center"/>
    </xf>
    <xf numFmtId="1" fontId="4" fillId="4" borderId="5" xfId="0" applyNumberFormat="1" applyFont="1" applyFill="1" applyBorder="1" applyAlignment="1">
      <alignment horizontal="center" vertical="center"/>
    </xf>
    <xf numFmtId="1" fontId="4" fillId="0" borderId="8"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4" fillId="0" borderId="27" xfId="0" applyNumberFormat="1" applyFont="1" applyBorder="1" applyAlignment="1">
      <alignment horizontal="center" vertical="center" wrapText="1"/>
    </xf>
    <xf numFmtId="1" fontId="4" fillId="0" borderId="14" xfId="0" applyNumberFormat="1" applyFont="1" applyBorder="1" applyAlignment="1">
      <alignment horizontal="center" vertical="center"/>
    </xf>
    <xf numFmtId="1" fontId="4" fillId="0" borderId="0" xfId="0" applyNumberFormat="1" applyFont="1" applyAlignment="1">
      <alignment horizontal="center" vertical="center"/>
    </xf>
    <xf numFmtId="1" fontId="4" fillId="0" borderId="11" xfId="0" applyNumberFormat="1" applyFont="1" applyBorder="1" applyAlignment="1">
      <alignment horizontal="center" vertical="center" wrapText="1"/>
    </xf>
    <xf numFmtId="1" fontId="4" fillId="0" borderId="5" xfId="0" applyNumberFormat="1" applyFont="1" applyBorder="1" applyAlignment="1">
      <alignment horizontal="center" vertical="center"/>
    </xf>
    <xf numFmtId="1" fontId="4" fillId="0" borderId="1" xfId="0" applyNumberFormat="1" applyFont="1" applyBorder="1" applyAlignment="1">
      <alignment horizontal="center" vertical="center"/>
    </xf>
    <xf numFmtId="1" fontId="3" fillId="0" borderId="14" xfId="0" applyNumberFormat="1" applyFont="1" applyBorder="1" applyAlignment="1">
      <alignment horizontal="center" vertical="center"/>
    </xf>
    <xf numFmtId="1" fontId="3" fillId="0" borderId="14" xfId="1" applyNumberFormat="1" applyFont="1" applyBorder="1" applyAlignment="1">
      <alignment horizontal="center" vertical="center"/>
    </xf>
    <xf numFmtId="1" fontId="3" fillId="0" borderId="27" xfId="0" applyNumberFormat="1" applyFont="1" applyBorder="1" applyAlignment="1">
      <alignment horizontal="center" vertical="center"/>
    </xf>
    <xf numFmtId="1" fontId="3" fillId="0" borderId="27" xfId="0" applyNumberFormat="1" applyFont="1" applyBorder="1" applyAlignment="1">
      <alignment horizontal="center" wrapText="1"/>
    </xf>
    <xf numFmtId="1" fontId="10" fillId="0" borderId="14" xfId="1" applyNumberFormat="1" applyFont="1" applyFill="1" applyBorder="1" applyAlignment="1">
      <alignment horizontal="center"/>
    </xf>
    <xf numFmtId="1" fontId="10" fillId="0" borderId="14" xfId="0" applyNumberFormat="1" applyFont="1" applyBorder="1" applyAlignment="1">
      <alignment horizontal="center"/>
    </xf>
    <xf numFmtId="173" fontId="3" fillId="0" borderId="5" xfId="0" applyNumberFormat="1" applyFont="1" applyBorder="1" applyAlignment="1">
      <alignment horizontal="center"/>
    </xf>
    <xf numFmtId="0" fontId="9" fillId="0" borderId="11" xfId="0" applyFont="1" applyBorder="1" applyAlignment="1">
      <alignment horizontal="center" vertical="center" wrapText="1"/>
    </xf>
    <xf numFmtId="1" fontId="3" fillId="0" borderId="5" xfId="1" applyNumberFormat="1" applyFont="1" applyBorder="1" applyAlignment="1">
      <alignment horizontal="center" vertical="center"/>
    </xf>
    <xf numFmtId="1" fontId="3" fillId="0" borderId="5" xfId="0" applyNumberFormat="1" applyFont="1" applyBorder="1" applyAlignment="1">
      <alignment horizontal="center" vertical="center"/>
    </xf>
    <xf numFmtId="1" fontId="3" fillId="0" borderId="11" xfId="0" applyNumberFormat="1" applyFont="1" applyBorder="1" applyAlignment="1">
      <alignment horizontal="center" vertical="center"/>
    </xf>
    <xf numFmtId="14" fontId="8" fillId="3" borderId="9" xfId="0" applyNumberFormat="1" applyFont="1" applyFill="1" applyBorder="1" applyAlignment="1">
      <alignment horizontal="center" vertical="center"/>
    </xf>
    <xf numFmtId="1" fontId="4" fillId="4" borderId="27" xfId="46" applyNumberFormat="1" applyFont="1" applyFill="1" applyBorder="1" applyAlignment="1">
      <alignment horizontal="center" vertical="center"/>
    </xf>
    <xf numFmtId="1" fontId="4" fillId="4" borderId="14" xfId="1" applyNumberFormat="1" applyFont="1" applyFill="1" applyBorder="1" applyAlignment="1">
      <alignment horizontal="center" vertical="center"/>
    </xf>
    <xf numFmtId="1" fontId="4" fillId="4" borderId="14"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9" fillId="0" borderId="6" xfId="0" applyNumberFormat="1" applyFont="1" applyBorder="1" applyAlignment="1">
      <alignment horizontal="center" vertical="top" wrapText="1"/>
    </xf>
    <xf numFmtId="2" fontId="9" fillId="0" borderId="9" xfId="0" applyNumberFormat="1" applyFont="1" applyBorder="1" applyAlignment="1">
      <alignment horizontal="center" vertical="top" wrapText="1"/>
    </xf>
    <xf numFmtId="2" fontId="3" fillId="0" borderId="10" xfId="0" applyNumberFormat="1" applyFont="1" applyBorder="1" applyAlignment="1">
      <alignment horizontal="center" vertical="top"/>
    </xf>
    <xf numFmtId="2" fontId="9" fillId="0" borderId="14"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14"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7" xfId="46" applyNumberFormat="1" applyFont="1" applyFill="1" applyBorder="1" applyAlignment="1">
      <alignment horizontal="center" vertical="center" wrapText="1"/>
    </xf>
    <xf numFmtId="0" fontId="3" fillId="3" borderId="14" xfId="0" applyFont="1" applyFill="1" applyBorder="1" applyAlignment="1">
      <alignment horizontal="center" vertical="center"/>
    </xf>
    <xf numFmtId="0" fontId="3" fillId="3" borderId="27" xfId="0" applyFont="1" applyFill="1" applyBorder="1" applyAlignment="1">
      <alignment horizontal="center"/>
    </xf>
    <xf numFmtId="0" fontId="3" fillId="3" borderId="14" xfId="0" applyFont="1" applyFill="1" applyBorder="1" applyAlignment="1">
      <alignment horizontal="center"/>
    </xf>
    <xf numFmtId="0" fontId="3" fillId="3" borderId="0" xfId="0" applyFont="1" applyFill="1" applyAlignment="1">
      <alignment horizontal="center"/>
    </xf>
    <xf numFmtId="1" fontId="3" fillId="3" borderId="27" xfId="0" applyNumberFormat="1" applyFont="1" applyFill="1" applyBorder="1" applyAlignment="1">
      <alignment horizontal="center" wrapText="1"/>
    </xf>
    <xf numFmtId="1" fontId="4" fillId="3" borderId="14" xfId="1" applyNumberFormat="1" applyFont="1" applyFill="1" applyBorder="1" applyAlignment="1">
      <alignment horizontal="center" vertical="center"/>
    </xf>
    <xf numFmtId="1" fontId="4" fillId="3" borderId="14" xfId="46" applyNumberFormat="1" applyFont="1" applyFill="1" applyBorder="1" applyAlignment="1">
      <alignment horizontal="center" vertical="center"/>
    </xf>
    <xf numFmtId="1" fontId="4" fillId="3" borderId="27" xfId="46" applyNumberFormat="1" applyFont="1" applyFill="1" applyBorder="1" applyAlignment="1">
      <alignment horizontal="center" vertical="center"/>
    </xf>
    <xf numFmtId="1" fontId="3" fillId="4" borderId="5" xfId="0" applyNumberFormat="1" applyFont="1" applyFill="1" applyBorder="1" applyAlignment="1">
      <alignment horizontal="center"/>
    </xf>
    <xf numFmtId="2" fontId="3" fillId="0" borderId="5"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2" xfId="0" applyNumberFormat="1" applyFont="1" applyBorder="1" applyAlignment="1">
      <alignment horizontal="center" vertical="top"/>
    </xf>
    <xf numFmtId="1" fontId="3" fillId="0" borderId="8" xfId="0" applyNumberFormat="1" applyFont="1" applyBorder="1" applyAlignment="1">
      <alignment horizontal="center" wrapText="1"/>
    </xf>
    <xf numFmtId="165" fontId="3" fillId="0" borderId="6" xfId="1" applyNumberFormat="1" applyFont="1" applyFill="1" applyBorder="1" applyAlignment="1">
      <alignment horizontal="center"/>
    </xf>
    <xf numFmtId="1" fontId="3" fillId="0" borderId="6" xfId="43" applyNumberFormat="1" applyFont="1" applyFill="1" applyBorder="1" applyAlignment="1">
      <alignment horizontal="center"/>
    </xf>
    <xf numFmtId="165" fontId="3" fillId="0" borderId="14" xfId="1" applyNumberFormat="1" applyFont="1" applyFill="1" applyBorder="1" applyAlignment="1">
      <alignment horizontal="center"/>
    </xf>
    <xf numFmtId="1" fontId="3" fillId="0" borderId="14" xfId="43" applyNumberFormat="1" applyFont="1" applyFill="1" applyBorder="1" applyAlignment="1">
      <alignment horizont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1" fontId="3" fillId="0" borderId="15" xfId="0" applyNumberFormat="1" applyFont="1" applyBorder="1" applyAlignment="1">
      <alignment horizontal="center" vertical="center"/>
    </xf>
    <xf numFmtId="1" fontId="4" fillId="0" borderId="4"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1" fontId="3" fillId="0" borderId="2" xfId="43" applyNumberFormat="1" applyFont="1" applyFill="1" applyBorder="1" applyAlignment="1">
      <alignment horizontal="center"/>
    </xf>
    <xf numFmtId="0" fontId="3" fillId="0" borderId="5" xfId="0" applyFont="1" applyBorder="1" applyAlignment="1">
      <alignment horizontal="center" vertical="center"/>
    </xf>
    <xf numFmtId="165" fontId="3" fillId="0" borderId="5" xfId="1" applyNumberFormat="1" applyFont="1" applyFill="1" applyBorder="1" applyAlignment="1">
      <alignment horizontal="center" vertical="center"/>
    </xf>
    <xf numFmtId="1" fontId="3" fillId="0" borderId="5" xfId="43" applyNumberFormat="1" applyFont="1" applyFill="1" applyBorder="1" applyAlignment="1">
      <alignment horizontal="center" vertical="center"/>
    </xf>
    <xf numFmtId="0" fontId="3" fillId="0" borderId="6" xfId="0" applyFont="1" applyBorder="1" applyAlignment="1">
      <alignment horizontal="center" vertical="center"/>
    </xf>
    <xf numFmtId="0" fontId="3" fillId="0" borderId="9" xfId="0" applyFont="1" applyBorder="1" applyAlignment="1">
      <alignment horizontal="center" vertical="center"/>
    </xf>
    <xf numFmtId="165" fontId="9" fillId="0" borderId="6" xfId="1" applyNumberFormat="1" applyFont="1" applyBorder="1" applyAlignment="1">
      <alignment horizontal="center" vertical="center" wrapText="1"/>
    </xf>
    <xf numFmtId="0" fontId="3" fillId="0" borderId="14" xfId="0" applyFont="1" applyBorder="1" applyAlignment="1">
      <alignment horizontal="center" vertical="center"/>
    </xf>
    <xf numFmtId="165" fontId="9" fillId="0" borderId="14" xfId="1" applyNumberFormat="1" applyFont="1" applyBorder="1" applyAlignment="1">
      <alignment horizontal="center" vertical="center" wrapText="1"/>
    </xf>
    <xf numFmtId="179" fontId="9" fillId="0" borderId="14" xfId="1" applyNumberFormat="1" applyFont="1" applyBorder="1" applyAlignment="1">
      <alignment horizontal="center" vertical="center" wrapText="1"/>
    </xf>
    <xf numFmtId="168" fontId="9" fillId="0" borderId="14" xfId="0" applyNumberFormat="1" applyFont="1" applyBorder="1" applyAlignment="1">
      <alignment horizontal="center" vertical="center" wrapText="1"/>
    </xf>
    <xf numFmtId="168" fontId="9" fillId="0" borderId="27" xfId="0" applyNumberFormat="1" applyFont="1" applyBorder="1" applyAlignment="1">
      <alignment horizontal="center" vertical="center" wrapText="1"/>
    </xf>
    <xf numFmtId="173" fontId="3" fillId="0" borderId="14" xfId="0" applyNumberFormat="1" applyFont="1" applyBorder="1" applyAlignment="1">
      <alignment horizontal="center"/>
    </xf>
    <xf numFmtId="173" fontId="3" fillId="0" borderId="0" xfId="0" applyNumberFormat="1" applyFont="1" applyAlignment="1">
      <alignment horizontal="center"/>
    </xf>
    <xf numFmtId="165" fontId="9" fillId="0" borderId="5" xfId="1" applyNumberFormat="1" applyFont="1" applyBorder="1" applyAlignment="1">
      <alignment horizontal="center" vertical="center" wrapText="1"/>
    </xf>
    <xf numFmtId="0" fontId="3" fillId="0" borderId="6" xfId="0" applyFont="1" applyBorder="1"/>
    <xf numFmtId="1" fontId="3" fillId="0" borderId="6" xfId="0" applyNumberFormat="1" applyFont="1" applyBorder="1" applyAlignment="1">
      <alignment horizontal="right"/>
    </xf>
    <xf numFmtId="165" fontId="3" fillId="0" borderId="6" xfId="1" applyNumberFormat="1" applyFont="1" applyBorder="1" applyAlignment="1">
      <alignment horizontal="right"/>
    </xf>
    <xf numFmtId="1" fontId="3" fillId="0" borderId="6" xfId="0" applyNumberFormat="1" applyFont="1" applyBorder="1"/>
    <xf numFmtId="1" fontId="3" fillId="0" borderId="8" xfId="0" applyNumberFormat="1" applyFont="1" applyBorder="1"/>
    <xf numFmtId="0" fontId="3" fillId="0" borderId="5" xfId="0" applyFont="1" applyBorder="1"/>
    <xf numFmtId="165" fontId="9" fillId="0" borderId="5" xfId="1" applyNumberFormat="1" applyFont="1" applyBorder="1" applyAlignment="1">
      <alignment horizontal="right" vertical="center" wrapText="1"/>
    </xf>
    <xf numFmtId="165" fontId="9" fillId="0" borderId="5" xfId="1" applyNumberFormat="1" applyFont="1" applyBorder="1" applyAlignment="1">
      <alignment vertical="center" wrapText="1"/>
    </xf>
    <xf numFmtId="165" fontId="9" fillId="0" borderId="11" xfId="1" applyNumberFormat="1" applyFont="1" applyBorder="1" applyAlignment="1">
      <alignment vertical="center" wrapText="1"/>
    </xf>
    <xf numFmtId="1" fontId="3" fillId="0" borderId="0" xfId="48" applyNumberFormat="1" applyFont="1" applyAlignment="1">
      <alignment horizontal="center"/>
    </xf>
    <xf numFmtId="1" fontId="3" fillId="0" borderId="14" xfId="48" applyNumberFormat="1" applyFont="1" applyBorder="1" applyAlignment="1">
      <alignment horizontal="center"/>
    </xf>
    <xf numFmtId="165" fontId="3" fillId="0" borderId="14" xfId="1" applyNumberFormat="1" applyFont="1" applyBorder="1" applyAlignment="1">
      <alignment horizontal="center"/>
    </xf>
    <xf numFmtId="1" fontId="10" fillId="0" borderId="8" xfId="0" applyNumberFormat="1" applyFont="1" applyBorder="1" applyAlignment="1">
      <alignment horizontal="center"/>
    </xf>
    <xf numFmtId="1" fontId="10" fillId="0" borderId="6" xfId="0" applyNumberFormat="1" applyFont="1" applyBorder="1" applyAlignment="1">
      <alignment horizontal="center"/>
    </xf>
    <xf numFmtId="165" fontId="3" fillId="0" borderId="6" xfId="1" applyNumberFormat="1" applyFont="1" applyBorder="1" applyAlignment="1">
      <alignment horizontal="center"/>
    </xf>
    <xf numFmtId="1" fontId="4" fillId="0" borderId="27" xfId="48" applyNumberFormat="1" applyFont="1" applyBorder="1" applyAlignment="1">
      <alignment horizontal="center" vertical="center" wrapText="1"/>
    </xf>
    <xf numFmtId="1" fontId="8" fillId="4" borderId="27" xfId="0" applyNumberFormat="1" applyFont="1" applyFill="1" applyBorder="1" applyAlignment="1">
      <alignment horizontal="center" vertical="center" wrapText="1"/>
    </xf>
    <xf numFmtId="165" fontId="10" fillId="4" borderId="14" xfId="1" applyNumberFormat="1" applyFont="1" applyFill="1" applyBorder="1" applyAlignment="1">
      <alignment horizontal="center" vertical="center"/>
    </xf>
    <xf numFmtId="1" fontId="10" fillId="4" borderId="14" xfId="0" applyNumberFormat="1" applyFont="1" applyFill="1" applyBorder="1" applyAlignment="1">
      <alignment horizontal="center" vertical="center"/>
    </xf>
    <xf numFmtId="9" fontId="3" fillId="0" borderId="0" xfId="3" applyFont="1" applyAlignment="1">
      <alignment horizontal="center"/>
    </xf>
    <xf numFmtId="0" fontId="3" fillId="17" borderId="6" xfId="0" applyFont="1" applyFill="1" applyBorder="1"/>
    <xf numFmtId="0" fontId="3" fillId="17" borderId="6" xfId="0" applyFont="1" applyFill="1" applyBorder="1" applyAlignment="1">
      <alignment horizontal="center"/>
    </xf>
    <xf numFmtId="0" fontId="3" fillId="19" borderId="27" xfId="0" applyFont="1" applyFill="1" applyBorder="1" applyAlignment="1">
      <alignment horizontal="center" vertical="top" wrapText="1"/>
    </xf>
    <xf numFmtId="180" fontId="9" fillId="0" borderId="0" xfId="3" applyNumberFormat="1" applyFont="1" applyFill="1" applyBorder="1" applyAlignment="1">
      <alignment horizontal="center" vertical="center"/>
    </xf>
    <xf numFmtId="0" fontId="3" fillId="0" borderId="15" xfId="0" applyFont="1" applyBorder="1"/>
    <xf numFmtId="0" fontId="2" fillId="4" borderId="0" xfId="0" applyFont="1" applyFill="1" applyAlignment="1">
      <alignment horizontal="center"/>
    </xf>
    <xf numFmtId="167" fontId="0" fillId="25" borderId="0" xfId="0" applyNumberFormat="1" applyFill="1" applyAlignment="1">
      <alignment horizontal="center"/>
    </xf>
    <xf numFmtId="0" fontId="4" fillId="0" borderId="0" xfId="0" applyFont="1" applyAlignment="1" applyProtection="1">
      <alignment horizontal="center" vertical="center"/>
      <protection locked="0"/>
    </xf>
    <xf numFmtId="1" fontId="4" fillId="0" borderId="26" xfId="0" applyNumberFormat="1" applyFont="1" applyBorder="1" applyAlignment="1">
      <alignment horizontal="center" vertical="center"/>
    </xf>
    <xf numFmtId="1" fontId="7" fillId="25" borderId="7" xfId="0" applyNumberFormat="1" applyFont="1" applyFill="1" applyBorder="1" applyAlignment="1">
      <alignment horizontal="center" vertical="center"/>
    </xf>
    <xf numFmtId="1" fontId="7" fillId="21" borderId="7" xfId="0" applyNumberFormat="1" applyFont="1" applyFill="1" applyBorder="1" applyAlignment="1">
      <alignment horizontal="center" vertical="center"/>
    </xf>
    <xf numFmtId="0" fontId="3" fillId="25" borderId="15" xfId="0" applyFont="1" applyFill="1" applyBorder="1" applyAlignment="1">
      <alignment horizontal="center"/>
    </xf>
    <xf numFmtId="167" fontId="3" fillId="25" borderId="7" xfId="0" applyNumberFormat="1" applyFont="1" applyFill="1" applyBorder="1" applyAlignment="1">
      <alignment horizontal="center"/>
    </xf>
    <xf numFmtId="0" fontId="3" fillId="25" borderId="2" xfId="0" applyFont="1" applyFill="1" applyBorder="1" applyAlignment="1">
      <alignment horizontal="center"/>
    </xf>
    <xf numFmtId="0" fontId="7" fillId="0" borderId="27" xfId="42" applyFont="1" applyBorder="1" applyAlignment="1">
      <alignment horizontal="center" vertical="center"/>
    </xf>
    <xf numFmtId="9" fontId="4" fillId="0" borderId="0" xfId="42" applyNumberFormat="1" applyAlignment="1">
      <alignment horizontal="center" vertical="center"/>
    </xf>
    <xf numFmtId="9" fontId="4" fillId="0" borderId="26" xfId="42" applyNumberFormat="1" applyBorder="1" applyAlignment="1">
      <alignment horizontal="center" vertical="center"/>
    </xf>
    <xf numFmtId="0" fontId="7" fillId="0" borderId="26" xfId="42" applyFont="1" applyBorder="1" applyAlignment="1">
      <alignment horizontal="center" vertical="center"/>
    </xf>
    <xf numFmtId="0" fontId="7" fillId="0" borderId="11" xfId="42" applyFont="1" applyBorder="1" applyAlignment="1">
      <alignment horizontal="center" vertical="center"/>
    </xf>
    <xf numFmtId="0" fontId="7" fillId="0" borderId="27" xfId="44" applyFont="1" applyBorder="1" applyAlignment="1">
      <alignment vertical="center"/>
    </xf>
    <xf numFmtId="2" fontId="7" fillId="0" borderId="26" xfId="44" applyNumberFormat="1" applyFont="1" applyBorder="1" applyAlignment="1">
      <alignment horizontal="center" vertical="center"/>
    </xf>
    <xf numFmtId="0" fontId="4" fillId="0" borderId="26" xfId="44" applyBorder="1" applyAlignment="1">
      <alignment horizontal="center" vertical="center"/>
    </xf>
    <xf numFmtId="0" fontId="4" fillId="0" borderId="27" xfId="44" applyBorder="1" applyAlignment="1">
      <alignment vertical="center"/>
    </xf>
    <xf numFmtId="2" fontId="4" fillId="0" borderId="26" xfId="44" applyNumberFormat="1" applyBorder="1" applyAlignment="1">
      <alignment horizontal="center" vertical="center"/>
    </xf>
    <xf numFmtId="0" fontId="7" fillId="0" borderId="27" xfId="44" applyFont="1" applyBorder="1" applyAlignment="1">
      <alignment horizontal="center" vertical="center"/>
    </xf>
    <xf numFmtId="0" fontId="7" fillId="0" borderId="11" xfId="44" applyFont="1" applyBorder="1" applyAlignment="1">
      <alignment vertical="center"/>
    </xf>
    <xf numFmtId="10" fontId="7" fillId="0" borderId="12" xfId="52" applyNumberFormat="1" applyFont="1" applyBorder="1" applyAlignment="1">
      <alignment horizontal="center" vertical="center"/>
    </xf>
    <xf numFmtId="0" fontId="44" fillId="0" borderId="26" xfId="44" applyFont="1" applyBorder="1" applyAlignment="1">
      <alignment vertical="center"/>
    </xf>
    <xf numFmtId="10" fontId="7" fillId="0" borderId="1" xfId="52" applyNumberFormat="1" applyFont="1" applyBorder="1" applyAlignment="1">
      <alignment horizontal="center" vertical="center"/>
    </xf>
    <xf numFmtId="0" fontId="4" fillId="0" borderId="1" xfId="44" applyBorder="1"/>
    <xf numFmtId="0" fontId="4" fillId="0" borderId="0" xfId="44" applyAlignment="1">
      <alignment horizontal="center"/>
    </xf>
    <xf numFmtId="0" fontId="4" fillId="0" borderId="26" xfId="44" applyBorder="1" applyAlignment="1">
      <alignment horizontal="center"/>
    </xf>
    <xf numFmtId="0" fontId="4" fillId="0" borderId="6" xfId="44" applyBorder="1" applyAlignment="1">
      <alignment horizontal="center"/>
    </xf>
    <xf numFmtId="0" fontId="4" fillId="0" borderId="14" xfId="44" applyBorder="1" applyAlignment="1">
      <alignment horizontal="center"/>
    </xf>
    <xf numFmtId="0" fontId="4" fillId="0" borderId="5" xfId="44" applyBorder="1" applyAlignment="1">
      <alignment horizontal="center"/>
    </xf>
    <xf numFmtId="0" fontId="4" fillId="26" borderId="2" xfId="44" applyFill="1" applyBorder="1"/>
    <xf numFmtId="2" fontId="4" fillId="0" borderId="26" xfId="42" applyNumberFormat="1" applyBorder="1" applyAlignment="1">
      <alignment horizontal="center" vertical="center"/>
    </xf>
    <xf numFmtId="2" fontId="4" fillId="0" borderId="1" xfId="42" applyNumberFormat="1" applyBorder="1" applyAlignment="1">
      <alignment horizontal="center" vertical="center"/>
    </xf>
    <xf numFmtId="2" fontId="4" fillId="0" borderId="12" xfId="42" applyNumberFormat="1" applyBorder="1" applyAlignment="1">
      <alignment horizontal="center" vertical="center"/>
    </xf>
    <xf numFmtId="1" fontId="10" fillId="3" borderId="4" xfId="0" applyNumberFormat="1" applyFont="1" applyFill="1" applyBorder="1" applyAlignment="1">
      <alignment horizontal="center"/>
    </xf>
    <xf numFmtId="1" fontId="10" fillId="3" borderId="7" xfId="0" applyNumberFormat="1" applyFont="1" applyFill="1" applyBorder="1" applyAlignment="1">
      <alignment horizontal="center"/>
    </xf>
    <xf numFmtId="10" fontId="3" fillId="0" borderId="8" xfId="0" applyNumberFormat="1" applyFont="1" applyBorder="1" applyAlignment="1">
      <alignment horizontal="center"/>
    </xf>
    <xf numFmtId="10" fontId="3" fillId="0" borderId="10" xfId="0" applyNumberFormat="1" applyFont="1" applyBorder="1" applyAlignment="1">
      <alignment horizontal="center"/>
    </xf>
    <xf numFmtId="0" fontId="10" fillId="17" borderId="4" xfId="4" applyNumberFormat="1" applyFont="1" applyFill="1" applyBorder="1" applyAlignment="1">
      <alignment horizontal="center" vertical="center"/>
    </xf>
    <xf numFmtId="2" fontId="10" fillId="17" borderId="11" xfId="0" applyNumberFormat="1" applyFont="1" applyFill="1" applyBorder="1" applyAlignment="1">
      <alignment horizontal="center" vertical="center"/>
    </xf>
    <xf numFmtId="2" fontId="10" fillId="17" borderId="12" xfId="0" applyNumberFormat="1" applyFont="1" applyFill="1" applyBorder="1" applyAlignment="1">
      <alignment horizontal="center" vertical="center"/>
    </xf>
    <xf numFmtId="2" fontId="10" fillId="0" borderId="27" xfId="0" applyNumberFormat="1" applyFont="1" applyBorder="1" applyAlignment="1">
      <alignment horizontal="center" vertical="center"/>
    </xf>
    <xf numFmtId="2" fontId="10" fillId="0" borderId="26" xfId="0" applyNumberFormat="1" applyFont="1" applyBorder="1" applyAlignment="1">
      <alignment horizontal="center" vertical="center"/>
    </xf>
    <xf numFmtId="2" fontId="3" fillId="0" borderId="8" xfId="0" applyNumberFormat="1" applyFont="1" applyBorder="1" applyAlignment="1">
      <alignment horizontal="center"/>
    </xf>
    <xf numFmtId="2" fontId="3" fillId="0" borderId="10" xfId="0" applyNumberFormat="1" applyFont="1" applyBorder="1" applyAlignment="1">
      <alignment horizont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2" fontId="10" fillId="0" borderId="11" xfId="0" applyNumberFormat="1" applyFont="1" applyBorder="1" applyAlignment="1">
      <alignment horizontal="center"/>
    </xf>
    <xf numFmtId="2" fontId="10" fillId="0" borderId="12" xfId="0" applyNumberFormat="1" applyFont="1" applyBorder="1" applyAlignment="1">
      <alignment horizont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10" fontId="9" fillId="0" borderId="1" xfId="3" applyNumberFormat="1" applyFont="1" applyFill="1" applyBorder="1" applyAlignment="1">
      <alignment horizontal="center" vertical="center"/>
    </xf>
    <xf numFmtId="10" fontId="9" fillId="0" borderId="1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2" fontId="8" fillId="0" borderId="8" xfId="0" applyNumberFormat="1" applyFont="1" applyBorder="1" applyAlignment="1">
      <alignment horizontal="center" vertical="center"/>
    </xf>
    <xf numFmtId="2" fontId="8" fillId="0" borderId="10" xfId="0" applyNumberFormat="1" applyFont="1" applyBorder="1" applyAlignment="1">
      <alignment horizontal="center" vertical="center"/>
    </xf>
    <xf numFmtId="2" fontId="8" fillId="0" borderId="11" xfId="0" applyNumberFormat="1" applyFont="1" applyBorder="1" applyAlignment="1">
      <alignment horizontal="center" vertical="center"/>
    </xf>
    <xf numFmtId="2" fontId="3" fillId="0" borderId="27" xfId="0" applyNumberFormat="1" applyFont="1" applyBorder="1" applyAlignment="1">
      <alignment horizontal="center"/>
    </xf>
    <xf numFmtId="2" fontId="8" fillId="0" borderId="4" xfId="0" applyNumberFormat="1" applyFont="1" applyBorder="1" applyAlignment="1">
      <alignment horizontal="center" vertical="center"/>
    </xf>
    <xf numFmtId="2" fontId="8" fillId="0" borderId="7" xfId="0" applyNumberFormat="1" applyFont="1" applyBorder="1" applyAlignment="1">
      <alignment horizontal="center" vertical="center"/>
    </xf>
    <xf numFmtId="2" fontId="9" fillId="0" borderId="27" xfId="0" applyNumberFormat="1" applyFont="1" applyBorder="1" applyAlignment="1">
      <alignment horizontal="center" vertical="center"/>
    </xf>
    <xf numFmtId="2" fontId="9" fillId="0" borderId="26" xfId="0" applyNumberFormat="1" applyFont="1" applyBorder="1" applyAlignment="1">
      <alignment horizontal="center" vertical="center"/>
    </xf>
    <xf numFmtId="0" fontId="10" fillId="0" borderId="0" xfId="0" applyFont="1" applyAlignment="1">
      <alignment horizontal="center" vertical="center"/>
    </xf>
    <xf numFmtId="2" fontId="9" fillId="0" borderId="27" xfId="6" applyNumberFormat="1" applyFont="1" applyFill="1" applyBorder="1" applyAlignment="1">
      <alignment horizontal="center" vertical="center"/>
    </xf>
    <xf numFmtId="2" fontId="9" fillId="0" borderId="26" xfId="6" applyNumberFormat="1" applyFont="1" applyFill="1" applyBorder="1" applyAlignment="1">
      <alignment horizontal="center" vertical="center"/>
    </xf>
    <xf numFmtId="2" fontId="9" fillId="0" borderId="1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0" fontId="7" fillId="0" borderId="8" xfId="5" applyFont="1" applyFill="1" applyBorder="1" applyAlignment="1">
      <alignment horizontal="center" vertical="center"/>
    </xf>
    <xf numFmtId="0" fontId="7" fillId="0" borderId="9" xfId="5" applyFont="1" applyFill="1" applyBorder="1" applyAlignment="1">
      <alignment horizontal="center" vertical="center"/>
    </xf>
    <xf numFmtId="2" fontId="8" fillId="0" borderId="9" xfId="6" applyNumberFormat="1" applyFont="1" applyFill="1" applyBorder="1" applyAlignment="1">
      <alignment horizontal="center" vertical="center"/>
    </xf>
    <xf numFmtId="2" fontId="9" fillId="0" borderId="10" xfId="0" applyNumberFormat="1" applyFont="1" applyBorder="1" applyAlignment="1">
      <alignment horizontal="center" vertical="center"/>
    </xf>
    <xf numFmtId="0" fontId="7" fillId="0" borderId="27" xfId="0" applyFont="1" applyBorder="1" applyAlignment="1">
      <alignment horizontal="center" vertical="center"/>
    </xf>
    <xf numFmtId="10" fontId="8" fillId="0" borderId="0" xfId="3" applyNumberFormat="1" applyFont="1" applyFill="1" applyBorder="1" applyAlignment="1">
      <alignment horizontal="center" vertical="center"/>
    </xf>
    <xf numFmtId="0" fontId="7" fillId="0" borderId="11" xfId="0" applyFont="1" applyBorder="1" applyAlignment="1">
      <alignment horizontal="center" vertical="center"/>
    </xf>
    <xf numFmtId="0" fontId="7" fillId="0" borderId="1" xfId="0" applyFont="1" applyBorder="1" applyAlignment="1">
      <alignment horizontal="center" vertical="center"/>
    </xf>
    <xf numFmtId="2" fontId="7" fillId="0" borderId="1" xfId="6" applyNumberFormat="1" applyFont="1" applyFill="1" applyBorder="1" applyAlignment="1">
      <alignment horizontal="center" vertical="center"/>
    </xf>
    <xf numFmtId="2" fontId="9" fillId="0" borderId="12" xfId="0" applyNumberFormat="1" applyFont="1" applyBorder="1" applyAlignment="1">
      <alignment horizontal="center" vertical="center"/>
    </xf>
    <xf numFmtId="0" fontId="7" fillId="0" borderId="4" xfId="0" applyFont="1" applyBorder="1" applyAlignment="1">
      <alignment horizontal="center" vertical="center"/>
    </xf>
    <xf numFmtId="0" fontId="7" fillId="0" borderId="15" xfId="0" applyFont="1" applyBorder="1" applyAlignment="1">
      <alignment horizontal="center" vertical="center"/>
    </xf>
    <xf numFmtId="2" fontId="9" fillId="0" borderId="7" xfId="0" applyNumberFormat="1" applyFont="1" applyBorder="1" applyAlignment="1">
      <alignment horizontal="center" vertical="center"/>
    </xf>
    <xf numFmtId="2" fontId="3" fillId="0" borderId="27" xfId="6" applyNumberFormat="1" applyFont="1" applyFill="1" applyBorder="1" applyAlignment="1">
      <alignment horizont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2" fontId="3" fillId="0" borderId="1" xfId="6" applyNumberFormat="1" applyFont="1" applyFill="1" applyBorder="1" applyAlignment="1">
      <alignment horizontal="center"/>
    </xf>
    <xf numFmtId="2" fontId="3" fillId="0" borderId="11" xfId="6" applyNumberFormat="1" applyFont="1" applyFill="1" applyBorder="1" applyAlignment="1">
      <alignment horizontal="center"/>
    </xf>
    <xf numFmtId="2" fontId="3" fillId="0" borderId="12" xfId="6" applyNumberFormat="1" applyFont="1" applyFill="1" applyBorder="1" applyAlignment="1">
      <alignment horizontal="center"/>
    </xf>
    <xf numFmtId="3" fontId="9" fillId="0" borderId="0" xfId="0" applyNumberFormat="1" applyFont="1" applyAlignment="1">
      <alignment horizontal="right" vertical="center"/>
    </xf>
    <xf numFmtId="0" fontId="7" fillId="0" borderId="0" xfId="0" applyFont="1"/>
    <xf numFmtId="0" fontId="3" fillId="0" borderId="2" xfId="0" applyFont="1" applyBorder="1" applyAlignment="1">
      <alignment horizontal="center" vertical="center" wrapText="1"/>
    </xf>
    <xf numFmtId="170"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4" fontId="9" fillId="0" borderId="9" xfId="0" applyNumberFormat="1" applyFont="1" applyBorder="1" applyAlignment="1">
      <alignment horizontal="center" vertical="center"/>
    </xf>
    <xf numFmtId="0" fontId="10" fillId="4" borderId="0" xfId="0" applyFont="1" applyFill="1" applyAlignment="1">
      <alignment horizontal="center" wrapText="1"/>
    </xf>
    <xf numFmtId="0" fontId="10" fillId="0" borderId="0" xfId="0" applyFont="1" applyAlignment="1">
      <alignment horizontal="center" wrapText="1"/>
    </xf>
    <xf numFmtId="0" fontId="3" fillId="19" borderId="0" xfId="0" applyFont="1" applyFill="1" applyAlignment="1">
      <alignment horizontal="center" wrapText="1"/>
    </xf>
    <xf numFmtId="2" fontId="3" fillId="19" borderId="0" xfId="0" applyNumberFormat="1" applyFont="1" applyFill="1" applyAlignment="1">
      <alignment horizontal="center"/>
    </xf>
    <xf numFmtId="167" fontId="0" fillId="0" borderId="0" xfId="0" applyNumberFormat="1" applyAlignment="1">
      <alignment horizontal="center"/>
    </xf>
    <xf numFmtId="0" fontId="3" fillId="0" borderId="0" xfId="0" applyFont="1" applyAlignment="1">
      <alignment horizontal="center" wrapText="1"/>
    </xf>
    <xf numFmtId="0" fontId="0" fillId="0" borderId="26" xfId="0" applyBorder="1"/>
    <xf numFmtId="0" fontId="0" fillId="0" borderId="0" xfId="0" applyAlignment="1">
      <alignment horizontal="center"/>
    </xf>
    <xf numFmtId="0" fontId="0" fillId="0" borderId="26" xfId="0" applyBorder="1" applyAlignment="1">
      <alignment horizontal="center"/>
    </xf>
    <xf numFmtId="9" fontId="0" fillId="0" borderId="0" xfId="3" applyFont="1"/>
    <xf numFmtId="2" fontId="4" fillId="0" borderId="26" xfId="52" applyNumberFormat="1" applyFont="1" applyBorder="1" applyAlignment="1">
      <alignment horizontal="center" vertical="center"/>
    </xf>
    <xf numFmtId="2" fontId="4" fillId="0" borderId="26" xfId="0" applyNumberFormat="1" applyFont="1" applyBorder="1" applyAlignment="1">
      <alignment horizontal="center" vertical="center"/>
    </xf>
    <xf numFmtId="2" fontId="4" fillId="0" borderId="12" xfId="0" applyNumberFormat="1" applyFont="1" applyBorder="1" applyAlignment="1">
      <alignment horizontal="center" vertical="center"/>
    </xf>
    <xf numFmtId="0" fontId="7" fillId="0" borderId="6" xfId="0" applyFont="1" applyBorder="1" applyAlignment="1">
      <alignment horizontal="center" vertical="center"/>
    </xf>
    <xf numFmtId="0" fontId="4" fillId="0" borderId="14" xfId="0" applyFont="1" applyBorder="1" applyAlignment="1">
      <alignment horizontal="center" vertical="center"/>
    </xf>
    <xf numFmtId="0" fontId="10" fillId="0" borderId="27" xfId="0" applyFont="1" applyBorder="1" applyAlignment="1">
      <alignment horizontal="center" vertical="center"/>
    </xf>
    <xf numFmtId="3" fontId="8" fillId="0" borderId="0" xfId="0" applyNumberFormat="1" applyFont="1" applyAlignment="1">
      <alignment horizontal="center" vertical="center"/>
    </xf>
    <xf numFmtId="0" fontId="10" fillId="0" borderId="0" xfId="0" applyFont="1" applyAlignment="1">
      <alignment horizontal="left" vertical="center"/>
    </xf>
    <xf numFmtId="1" fontId="10" fillId="0" borderId="0" xfId="0" applyNumberFormat="1" applyFont="1" applyAlignment="1">
      <alignment horizontal="center" vertical="center"/>
    </xf>
    <xf numFmtId="2" fontId="9" fillId="0" borderId="0" xfId="3" applyNumberFormat="1" applyFont="1" applyFill="1" applyBorder="1" applyAlignment="1">
      <alignment horizontal="center" vertical="center"/>
    </xf>
    <xf numFmtId="171" fontId="53" fillId="27" borderId="0" xfId="46" applyFont="1" applyFill="1"/>
    <xf numFmtId="171" fontId="53" fillId="27" borderId="0" xfId="46" applyFont="1" applyFill="1" applyAlignment="1">
      <alignment horizontal="center" vertical="center" wrapText="1"/>
    </xf>
    <xf numFmtId="174" fontId="53" fillId="27" borderId="0" xfId="46" applyNumberFormat="1" applyFont="1" applyFill="1" applyAlignment="1">
      <alignment horizontal="center" vertical="center" wrapText="1"/>
    </xf>
    <xf numFmtId="171" fontId="53" fillId="0" borderId="0" xfId="46" applyFont="1"/>
    <xf numFmtId="2" fontId="53" fillId="0" borderId="0" xfId="46" applyNumberFormat="1" applyFont="1" applyAlignment="1">
      <alignment horizontal="center"/>
    </xf>
    <xf numFmtId="171" fontId="33" fillId="0" borderId="0" xfId="46" applyFont="1"/>
    <xf numFmtId="171" fontId="53" fillId="0" borderId="0" xfId="46" applyFont="1" applyAlignment="1">
      <alignment horizontal="center"/>
    </xf>
    <xf numFmtId="2" fontId="33" fillId="0" borderId="0" xfId="46" applyNumberFormat="1" applyFont="1" applyAlignment="1">
      <alignment horizontal="center"/>
    </xf>
    <xf numFmtId="170" fontId="3" fillId="0" borderId="0" xfId="3" applyNumberFormat="1" applyFont="1" applyFill="1" applyBorder="1" applyAlignment="1">
      <alignment horizontal="center"/>
    </xf>
    <xf numFmtId="10" fontId="3" fillId="0" borderId="0" xfId="3" applyNumberFormat="1" applyFont="1" applyFill="1" applyBorder="1" applyAlignment="1">
      <alignment horizontal="center"/>
    </xf>
    <xf numFmtId="0" fontId="3" fillId="4" borderId="27" xfId="0" applyFont="1" applyFill="1" applyBorder="1" applyAlignment="1">
      <alignment horizontal="center" wrapText="1"/>
    </xf>
    <xf numFmtId="2" fontId="3" fillId="4" borderId="26" xfId="0" applyNumberFormat="1" applyFont="1" applyFill="1" applyBorder="1" applyAlignment="1">
      <alignment horizontal="center"/>
    </xf>
    <xf numFmtId="0" fontId="10" fillId="0" borderId="1" xfId="0" applyFont="1" applyBorder="1"/>
    <xf numFmtId="165" fontId="3" fillId="0" borderId="5" xfId="1" applyNumberFormat="1" applyFont="1" applyBorder="1" applyAlignment="1">
      <alignment horizontal="center" vertical="center"/>
    </xf>
    <xf numFmtId="0" fontId="11" fillId="28" borderId="0" xfId="0" applyFont="1" applyFill="1"/>
    <xf numFmtId="0" fontId="8" fillId="29" borderId="0" xfId="0" applyFont="1" applyFill="1" applyAlignment="1">
      <alignment vertical="center" wrapText="1"/>
    </xf>
    <xf numFmtId="0" fontId="10" fillId="28" borderId="0" xfId="0" applyFont="1" applyFill="1" applyAlignment="1">
      <alignment horizontal="center" wrapText="1"/>
    </xf>
    <xf numFmtId="1" fontId="10" fillId="29" borderId="0" xfId="0" applyNumberFormat="1" applyFont="1" applyFill="1" applyAlignment="1">
      <alignment horizontal="center"/>
    </xf>
    <xf numFmtId="0" fontId="2" fillId="0" borderId="0" xfId="0" applyFont="1" applyAlignment="1">
      <alignment vertical="center" wrapText="1"/>
    </xf>
    <xf numFmtId="0" fontId="51" fillId="3" borderId="0" xfId="0" applyFont="1" applyFill="1" applyAlignment="1">
      <alignment horizontal="center" vertical="center"/>
    </xf>
    <xf numFmtId="0" fontId="51" fillId="3" borderId="6" xfId="0" applyFont="1" applyFill="1" applyBorder="1" applyAlignment="1">
      <alignment horizontal="center" vertical="center"/>
    </xf>
    <xf numFmtId="14" fontId="54" fillId="3" borderId="8" xfId="0" applyNumberFormat="1" applyFont="1" applyFill="1" applyBorder="1" applyAlignment="1">
      <alignment horizontal="center" vertical="center"/>
    </xf>
    <xf numFmtId="14" fontId="54" fillId="3" borderId="6" xfId="0" applyNumberFormat="1" applyFont="1" applyFill="1" applyBorder="1" applyAlignment="1">
      <alignment horizontal="center" vertical="center"/>
    </xf>
    <xf numFmtId="1" fontId="51" fillId="3" borderId="6" xfId="0" applyNumberFormat="1" applyFont="1" applyFill="1" applyBorder="1" applyAlignment="1">
      <alignment horizontal="center" vertical="center"/>
    </xf>
    <xf numFmtId="0" fontId="50" fillId="0" borderId="8" xfId="0" applyFont="1" applyBorder="1" applyAlignment="1">
      <alignment horizontal="center"/>
    </xf>
    <xf numFmtId="0" fontId="50" fillId="0" borderId="6" xfId="0" applyFont="1" applyBorder="1" applyAlignment="1">
      <alignment horizontal="center"/>
    </xf>
    <xf numFmtId="0" fontId="50" fillId="0" borderId="9" xfId="0" applyFont="1" applyBorder="1" applyAlignment="1">
      <alignment horizontal="center"/>
    </xf>
    <xf numFmtId="1" fontId="50" fillId="0" borderId="8" xfId="0" applyNumberFormat="1" applyFont="1" applyBorder="1" applyAlignment="1">
      <alignment horizontal="center"/>
    </xf>
    <xf numFmtId="1" fontId="50" fillId="0" borderId="6" xfId="0" applyNumberFormat="1" applyFont="1" applyBorder="1" applyAlignment="1">
      <alignment horizontal="center"/>
    </xf>
    <xf numFmtId="1" fontId="50" fillId="0" borderId="6" xfId="1" applyNumberFormat="1" applyFont="1" applyBorder="1" applyAlignment="1">
      <alignment horizontal="center"/>
    </xf>
    <xf numFmtId="1" fontId="51" fillId="3" borderId="0" xfId="0" applyNumberFormat="1" applyFont="1" applyFill="1" applyAlignment="1">
      <alignment horizontal="center"/>
    </xf>
    <xf numFmtId="0" fontId="50" fillId="0" borderId="27" xfId="0" applyFont="1" applyBorder="1" applyAlignment="1">
      <alignment horizontal="center"/>
    </xf>
    <xf numFmtId="0" fontId="50" fillId="0" borderId="14" xfId="0" applyFont="1" applyBorder="1" applyAlignment="1">
      <alignment horizontal="center"/>
    </xf>
    <xf numFmtId="1" fontId="50" fillId="0" borderId="27" xfId="0" applyNumberFormat="1" applyFont="1" applyBorder="1" applyAlignment="1">
      <alignment horizontal="center"/>
    </xf>
    <xf numFmtId="1" fontId="50" fillId="0" borderId="14" xfId="0" applyNumberFormat="1" applyFont="1" applyBorder="1" applyAlignment="1">
      <alignment horizontal="center"/>
    </xf>
    <xf numFmtId="1" fontId="50" fillId="0" borderId="14" xfId="1" applyNumberFormat="1" applyFont="1" applyBorder="1" applyAlignment="1">
      <alignment horizontal="center"/>
    </xf>
    <xf numFmtId="1" fontId="50" fillId="0" borderId="0" xfId="0" applyNumberFormat="1" applyFont="1" applyAlignment="1">
      <alignment horizontal="center"/>
    </xf>
    <xf numFmtId="168" fontId="51" fillId="0" borderId="0" xfId="0" applyNumberFormat="1" applyFont="1" applyAlignment="1">
      <alignment horizontal="center"/>
    </xf>
    <xf numFmtId="1" fontId="51" fillId="0" borderId="0" xfId="0" applyNumberFormat="1" applyFont="1" applyAlignment="1">
      <alignment horizontal="center"/>
    </xf>
    <xf numFmtId="0" fontId="50" fillId="0" borderId="11" xfId="0" applyFont="1" applyBorder="1" applyAlignment="1">
      <alignment horizontal="center"/>
    </xf>
    <xf numFmtId="0" fontId="50" fillId="0" borderId="5" xfId="0" applyFont="1" applyBorder="1" applyAlignment="1">
      <alignment horizontal="center"/>
    </xf>
    <xf numFmtId="0" fontId="50" fillId="0" borderId="1" xfId="0" applyFont="1" applyBorder="1" applyAlignment="1">
      <alignment horizontal="center"/>
    </xf>
    <xf numFmtId="1" fontId="50" fillId="0" borderId="11" xfId="0" applyNumberFormat="1" applyFont="1" applyBorder="1" applyAlignment="1">
      <alignment horizontal="center" vertical="center" wrapText="1"/>
    </xf>
    <xf numFmtId="1" fontId="50" fillId="0" borderId="5" xfId="0" applyNumberFormat="1" applyFont="1" applyBorder="1" applyAlignment="1">
      <alignment horizontal="center"/>
    </xf>
    <xf numFmtId="1" fontId="50" fillId="0" borderId="11" xfId="0" applyNumberFormat="1" applyFont="1" applyBorder="1" applyAlignment="1">
      <alignment horizontal="center"/>
    </xf>
    <xf numFmtId="0" fontId="50" fillId="0" borderId="10" xfId="0" applyFont="1" applyBorder="1" applyAlignment="1">
      <alignment horizontal="center"/>
    </xf>
    <xf numFmtId="1" fontId="55" fillId="0" borderId="9" xfId="0" applyNumberFormat="1" applyFont="1" applyBorder="1" applyAlignment="1">
      <alignment horizontal="center" vertical="center" wrapText="1"/>
    </xf>
    <xf numFmtId="1" fontId="55" fillId="0" borderId="6" xfId="0" applyNumberFormat="1" applyFont="1" applyBorder="1" applyAlignment="1">
      <alignment horizontal="center" vertical="center" wrapText="1"/>
    </xf>
    <xf numFmtId="1" fontId="55" fillId="0" borderId="10" xfId="0" applyNumberFormat="1" applyFont="1" applyBorder="1" applyAlignment="1">
      <alignment horizontal="center" vertical="center" wrapText="1"/>
    </xf>
    <xf numFmtId="1" fontId="55" fillId="0" borderId="8" xfId="0" applyNumberFormat="1" applyFont="1" applyBorder="1" applyAlignment="1">
      <alignment horizontal="center" vertical="center" wrapText="1"/>
    </xf>
    <xf numFmtId="1" fontId="55" fillId="0" borderId="14" xfId="0" applyNumberFormat="1" applyFont="1" applyBorder="1" applyAlignment="1">
      <alignment horizontal="center" vertical="center" wrapText="1"/>
    </xf>
    <xf numFmtId="1" fontId="55" fillId="0" borderId="6" xfId="1" applyNumberFormat="1" applyFont="1" applyBorder="1" applyAlignment="1">
      <alignment horizontal="center" vertical="center" wrapText="1"/>
    </xf>
    <xf numFmtId="1" fontId="55" fillId="5" borderId="6" xfId="0" applyNumberFormat="1" applyFont="1" applyFill="1" applyBorder="1" applyAlignment="1">
      <alignment horizontal="center" vertical="center"/>
    </xf>
    <xf numFmtId="1" fontId="55" fillId="5" borderId="8" xfId="0" applyNumberFormat="1" applyFont="1" applyFill="1" applyBorder="1" applyAlignment="1">
      <alignment horizontal="center" vertical="center"/>
    </xf>
    <xf numFmtId="0" fontId="50" fillId="0" borderId="26" xfId="0" applyFont="1" applyBorder="1" applyAlignment="1">
      <alignment horizontal="center"/>
    </xf>
    <xf numFmtId="1" fontId="55" fillId="0" borderId="0" xfId="0" applyNumberFormat="1" applyFont="1" applyAlignment="1">
      <alignment horizontal="center" vertical="center" wrapText="1"/>
    </xf>
    <xf numFmtId="1" fontId="55" fillId="0" borderId="26" xfId="0" applyNumberFormat="1" applyFont="1" applyBorder="1" applyAlignment="1">
      <alignment horizontal="center" vertical="center" wrapText="1"/>
    </xf>
    <xf numFmtId="1" fontId="55" fillId="0" borderId="27" xfId="0" applyNumberFormat="1" applyFont="1" applyBorder="1" applyAlignment="1">
      <alignment horizontal="center" vertical="center" wrapText="1"/>
    </xf>
    <xf numFmtId="1" fontId="55" fillId="0" borderId="14" xfId="1" applyNumberFormat="1" applyFont="1" applyBorder="1" applyAlignment="1">
      <alignment horizontal="center" vertical="center" wrapText="1"/>
    </xf>
    <xf numFmtId="1" fontId="55" fillId="5" borderId="14" xfId="0" applyNumberFormat="1" applyFont="1" applyFill="1" applyBorder="1" applyAlignment="1">
      <alignment horizontal="center" vertical="center"/>
    </xf>
    <xf numFmtId="1" fontId="55" fillId="5" borderId="27" xfId="0" applyNumberFormat="1" applyFont="1" applyFill="1" applyBorder="1" applyAlignment="1">
      <alignment horizontal="center" vertical="center"/>
    </xf>
    <xf numFmtId="0" fontId="50" fillId="0" borderId="12" xfId="0" applyFont="1" applyBorder="1" applyAlignment="1">
      <alignment horizontal="center"/>
    </xf>
    <xf numFmtId="1" fontId="55" fillId="0" borderId="1" xfId="0" applyNumberFormat="1" applyFont="1" applyBorder="1" applyAlignment="1">
      <alignment horizontal="center" vertical="center" wrapText="1"/>
    </xf>
    <xf numFmtId="1" fontId="55" fillId="0" borderId="5" xfId="0" applyNumberFormat="1" applyFont="1" applyBorder="1" applyAlignment="1">
      <alignment horizontal="center" vertical="center" wrapText="1"/>
    </xf>
    <xf numFmtId="1" fontId="55" fillId="0" borderId="12" xfId="0" applyNumberFormat="1" applyFont="1" applyBorder="1" applyAlignment="1">
      <alignment horizontal="center" vertical="center" wrapText="1"/>
    </xf>
    <xf numFmtId="1" fontId="55" fillId="0" borderId="11" xfId="0" applyNumberFormat="1" applyFont="1" applyBorder="1" applyAlignment="1">
      <alignment horizontal="center" vertical="center" wrapText="1"/>
    </xf>
    <xf numFmtId="1" fontId="55" fillId="0" borderId="5" xfId="1" applyNumberFormat="1" applyFont="1" applyBorder="1" applyAlignment="1">
      <alignment horizontal="center" vertical="center" wrapText="1"/>
    </xf>
    <xf numFmtId="1" fontId="55" fillId="5" borderId="5" xfId="0" applyNumberFormat="1" applyFont="1" applyFill="1" applyBorder="1" applyAlignment="1">
      <alignment horizontal="center" vertical="center"/>
    </xf>
    <xf numFmtId="1" fontId="55" fillId="5" borderId="11" xfId="0" applyNumberFormat="1" applyFont="1" applyFill="1" applyBorder="1" applyAlignment="1">
      <alignment horizontal="center" vertical="center"/>
    </xf>
    <xf numFmtId="0" fontId="50" fillId="4" borderId="8" xfId="0" applyFont="1" applyFill="1" applyBorder="1" applyAlignment="1">
      <alignment horizontal="center"/>
    </xf>
    <xf numFmtId="0" fontId="50" fillId="4" borderId="6" xfId="0" applyFont="1" applyFill="1" applyBorder="1" applyAlignment="1">
      <alignment horizontal="center"/>
    </xf>
    <xf numFmtId="1" fontId="56" fillId="4" borderId="8" xfId="0" applyNumberFormat="1" applyFont="1" applyFill="1" applyBorder="1" applyAlignment="1">
      <alignment horizontal="center"/>
    </xf>
    <xf numFmtId="1" fontId="56" fillId="4" borderId="14" xfId="0" applyNumberFormat="1" applyFont="1" applyFill="1" applyBorder="1" applyAlignment="1">
      <alignment horizontal="center" vertical="center"/>
    </xf>
    <xf numFmtId="1" fontId="56" fillId="4" borderId="6" xfId="1" applyNumberFormat="1" applyFont="1" applyFill="1" applyBorder="1" applyAlignment="1">
      <alignment horizontal="center" vertical="center"/>
    </xf>
    <xf numFmtId="1" fontId="56" fillId="4" borderId="6" xfId="0" applyNumberFormat="1" applyFont="1" applyFill="1" applyBorder="1" applyAlignment="1">
      <alignment horizontal="center" vertical="center"/>
    </xf>
    <xf numFmtId="1" fontId="56" fillId="4" borderId="14" xfId="1" applyNumberFormat="1" applyFont="1" applyFill="1" applyBorder="1" applyAlignment="1">
      <alignment horizontal="center" vertical="center"/>
    </xf>
    <xf numFmtId="1" fontId="56" fillId="4" borderId="8" xfId="0" applyNumberFormat="1" applyFont="1" applyFill="1" applyBorder="1" applyAlignment="1">
      <alignment horizontal="center" vertical="center"/>
    </xf>
    <xf numFmtId="1" fontId="50" fillId="4" borderId="14" xfId="0" applyNumberFormat="1" applyFont="1" applyFill="1" applyBorder="1" applyAlignment="1">
      <alignment horizontal="center"/>
    </xf>
    <xf numFmtId="0" fontId="50" fillId="4" borderId="27" xfId="0" applyFont="1" applyFill="1" applyBorder="1" applyAlignment="1">
      <alignment horizontal="center"/>
    </xf>
    <xf numFmtId="0" fontId="50" fillId="4" borderId="14" xfId="0" applyFont="1" applyFill="1" applyBorder="1" applyAlignment="1">
      <alignment horizontal="center"/>
    </xf>
    <xf numFmtId="1" fontId="56" fillId="4" borderId="27" xfId="0" applyNumberFormat="1" applyFont="1" applyFill="1" applyBorder="1" applyAlignment="1">
      <alignment horizontal="center"/>
    </xf>
    <xf numFmtId="1" fontId="56" fillId="4" borderId="27" xfId="0" applyNumberFormat="1" applyFont="1" applyFill="1" applyBorder="1" applyAlignment="1">
      <alignment horizontal="center" vertical="center"/>
    </xf>
    <xf numFmtId="0" fontId="50" fillId="4" borderId="11" xfId="0" applyFont="1" applyFill="1" applyBorder="1" applyAlignment="1">
      <alignment horizontal="center"/>
    </xf>
    <xf numFmtId="0" fontId="50" fillId="4" borderId="5" xfId="0" applyFont="1" applyFill="1" applyBorder="1" applyAlignment="1">
      <alignment horizontal="center"/>
    </xf>
    <xf numFmtId="1" fontId="56" fillId="4" borderId="11" xfId="0" applyNumberFormat="1" applyFont="1" applyFill="1" applyBorder="1" applyAlignment="1">
      <alignment horizontal="center"/>
    </xf>
    <xf numFmtId="1" fontId="56" fillId="4" borderId="5" xfId="0" applyNumberFormat="1" applyFont="1" applyFill="1" applyBorder="1" applyAlignment="1">
      <alignment horizontal="center" vertical="center"/>
    </xf>
    <xf numFmtId="1" fontId="56" fillId="4" borderId="5" xfId="1" applyNumberFormat="1" applyFont="1" applyFill="1" applyBorder="1" applyAlignment="1">
      <alignment horizontal="center" vertical="center"/>
    </xf>
    <xf numFmtId="1" fontId="56" fillId="4" borderId="11" xfId="0" applyNumberFormat="1" applyFont="1" applyFill="1" applyBorder="1" applyAlignment="1">
      <alignment horizontal="center" vertical="center"/>
    </xf>
    <xf numFmtId="1" fontId="56" fillId="0" borderId="8" xfId="0" applyNumberFormat="1" applyFont="1" applyBorder="1" applyAlignment="1">
      <alignment horizontal="center" vertical="center" wrapText="1"/>
    </xf>
    <xf numFmtId="1" fontId="56" fillId="0" borderId="6" xfId="0" applyNumberFormat="1" applyFont="1" applyBorder="1" applyAlignment="1">
      <alignment horizontal="center" vertical="center"/>
    </xf>
    <xf numFmtId="1" fontId="56" fillId="0" borderId="27" xfId="0" applyNumberFormat="1" applyFont="1" applyBorder="1" applyAlignment="1">
      <alignment horizontal="center" vertical="center" wrapText="1"/>
    </xf>
    <xf numFmtId="1" fontId="56" fillId="0" borderId="14" xfId="0" applyNumberFormat="1" applyFont="1" applyBorder="1" applyAlignment="1">
      <alignment horizontal="center" vertical="center"/>
    </xf>
    <xf numFmtId="1" fontId="56" fillId="0" borderId="11" xfId="0" applyNumberFormat="1" applyFont="1" applyBorder="1" applyAlignment="1">
      <alignment horizontal="center" vertical="center" wrapText="1"/>
    </xf>
    <xf numFmtId="1" fontId="56" fillId="0" borderId="5" xfId="0" applyNumberFormat="1" applyFont="1" applyBorder="1" applyAlignment="1">
      <alignment horizontal="center" vertical="center"/>
    </xf>
    <xf numFmtId="1" fontId="50" fillId="0" borderId="6" xfId="0" applyNumberFormat="1" applyFont="1" applyBorder="1" applyAlignment="1">
      <alignment horizontal="center" vertical="center"/>
    </xf>
    <xf numFmtId="1" fontId="50" fillId="0" borderId="6" xfId="1" applyNumberFormat="1" applyFont="1" applyBorder="1" applyAlignment="1">
      <alignment horizontal="center" vertical="center"/>
    </xf>
    <xf numFmtId="1" fontId="50" fillId="0" borderId="8" xfId="0" applyNumberFormat="1" applyFont="1" applyBorder="1" applyAlignment="1">
      <alignment horizontal="center" vertical="center"/>
    </xf>
    <xf numFmtId="1" fontId="50" fillId="0" borderId="14" xfId="0" applyNumberFormat="1" applyFont="1" applyBorder="1" applyAlignment="1">
      <alignment horizontal="center" vertical="center"/>
    </xf>
    <xf numFmtId="1" fontId="50" fillId="0" borderId="14" xfId="1" applyNumberFormat="1" applyFont="1" applyBorder="1" applyAlignment="1">
      <alignment horizontal="center" vertical="center"/>
    </xf>
    <xf numFmtId="1" fontId="50" fillId="0" borderId="27" xfId="0" applyNumberFormat="1" applyFont="1" applyBorder="1" applyAlignment="1">
      <alignment horizontal="center" vertical="center"/>
    </xf>
    <xf numFmtId="1" fontId="50" fillId="0" borderId="27" xfId="0" applyNumberFormat="1" applyFont="1" applyBorder="1" applyAlignment="1">
      <alignment horizontal="center" wrapText="1"/>
    </xf>
    <xf numFmtId="1" fontId="51" fillId="0" borderId="14" xfId="1" applyNumberFormat="1" applyFont="1" applyFill="1" applyBorder="1" applyAlignment="1">
      <alignment horizontal="center"/>
    </xf>
    <xf numFmtId="1" fontId="51" fillId="0" borderId="14" xfId="43" applyNumberFormat="1" applyFont="1" applyFill="1" applyBorder="1" applyAlignment="1">
      <alignment horizontal="center"/>
    </xf>
    <xf numFmtId="1" fontId="51" fillId="0" borderId="27" xfId="43" applyNumberFormat="1" applyFont="1" applyFill="1" applyBorder="1" applyAlignment="1">
      <alignment horizontal="center"/>
    </xf>
    <xf numFmtId="1" fontId="51" fillId="0" borderId="14" xfId="0" applyNumberFormat="1" applyFont="1" applyBorder="1" applyAlignment="1">
      <alignment horizontal="center"/>
    </xf>
    <xf numFmtId="0" fontId="55" fillId="0" borderId="27" xfId="0" applyFont="1" applyBorder="1" applyAlignment="1">
      <alignment horizontal="center" vertical="center" wrapText="1"/>
    </xf>
    <xf numFmtId="173" fontId="50" fillId="0" borderId="5" xfId="0" applyNumberFormat="1" applyFont="1" applyBorder="1" applyAlignment="1">
      <alignment horizontal="center"/>
    </xf>
    <xf numFmtId="0" fontId="55" fillId="0" borderId="11" xfId="0" applyFont="1" applyBorder="1" applyAlignment="1">
      <alignment horizontal="center" vertical="center" wrapText="1"/>
    </xf>
    <xf numFmtId="1" fontId="50" fillId="0" borderId="5" xfId="1" applyNumberFormat="1" applyFont="1" applyBorder="1" applyAlignment="1">
      <alignment horizontal="center" vertical="center"/>
    </xf>
    <xf numFmtId="1" fontId="50" fillId="0" borderId="5" xfId="0" applyNumberFormat="1" applyFont="1" applyBorder="1" applyAlignment="1">
      <alignment horizontal="center" vertical="center"/>
    </xf>
    <xf numFmtId="1" fontId="50" fillId="0" borderId="11" xfId="0" applyNumberFormat="1" applyFont="1" applyBorder="1" applyAlignment="1">
      <alignment horizontal="center" vertical="center"/>
    </xf>
    <xf numFmtId="14" fontId="54" fillId="3" borderId="9" xfId="0" applyNumberFormat="1" applyFont="1" applyFill="1" applyBorder="1" applyAlignment="1">
      <alignment horizontal="center" vertical="center"/>
    </xf>
    <xf numFmtId="1" fontId="56" fillId="4" borderId="27" xfId="46" applyNumberFormat="1" applyFont="1" applyFill="1" applyBorder="1" applyAlignment="1">
      <alignment horizontal="center" vertical="center"/>
    </xf>
    <xf numFmtId="1" fontId="56" fillId="4" borderId="14" xfId="46" applyNumberFormat="1" applyFont="1" applyFill="1" applyBorder="1" applyAlignment="1">
      <alignment horizontal="center" vertical="center"/>
    </xf>
    <xf numFmtId="1" fontId="50" fillId="4" borderId="6" xfId="0" applyNumberFormat="1" applyFont="1" applyFill="1" applyBorder="1" applyAlignment="1">
      <alignment horizontal="center"/>
    </xf>
    <xf numFmtId="2" fontId="55" fillId="0" borderId="9" xfId="0" applyNumberFormat="1" applyFont="1" applyBorder="1" applyAlignment="1">
      <alignment horizontal="center" vertical="top" wrapText="1"/>
    </xf>
    <xf numFmtId="2" fontId="50" fillId="0" borderId="10" xfId="0" applyNumberFormat="1" applyFont="1" applyBorder="1" applyAlignment="1">
      <alignment horizontal="center" vertical="top"/>
    </xf>
    <xf numFmtId="2" fontId="55" fillId="0" borderId="0" xfId="0" applyNumberFormat="1" applyFont="1" applyAlignment="1">
      <alignment horizontal="center" vertical="top" wrapText="1"/>
    </xf>
    <xf numFmtId="2" fontId="50" fillId="0" borderId="26" xfId="0" applyNumberFormat="1" applyFont="1" applyBorder="1" applyAlignment="1">
      <alignment horizontal="center" vertical="top"/>
    </xf>
    <xf numFmtId="2" fontId="50" fillId="0" borderId="0" xfId="0" applyNumberFormat="1" applyFont="1" applyAlignment="1">
      <alignment horizontal="center" vertical="top" wrapText="1"/>
    </xf>
    <xf numFmtId="2" fontId="50" fillId="0" borderId="0" xfId="0" applyNumberFormat="1" applyFont="1" applyAlignment="1">
      <alignment horizontal="center" vertical="top"/>
    </xf>
    <xf numFmtId="1" fontId="56" fillId="4" borderId="27" xfId="46" applyNumberFormat="1" applyFont="1" applyFill="1" applyBorder="1" applyAlignment="1">
      <alignment horizontal="center" vertical="center" wrapText="1"/>
    </xf>
    <xf numFmtId="0" fontId="50" fillId="3" borderId="14" xfId="0" applyFont="1" applyFill="1" applyBorder="1" applyAlignment="1">
      <alignment horizontal="center" vertical="center"/>
    </xf>
    <xf numFmtId="0" fontId="50" fillId="3" borderId="27" xfId="0" applyFont="1" applyFill="1" applyBorder="1" applyAlignment="1">
      <alignment horizontal="center"/>
    </xf>
    <xf numFmtId="0" fontId="50" fillId="3" borderId="14" xfId="0" applyFont="1" applyFill="1" applyBorder="1" applyAlignment="1">
      <alignment horizontal="center"/>
    </xf>
    <xf numFmtId="0" fontId="50" fillId="3" borderId="0" xfId="0" applyFont="1" applyFill="1" applyAlignment="1">
      <alignment horizontal="center"/>
    </xf>
    <xf numFmtId="1" fontId="50" fillId="3" borderId="27" xfId="0" applyNumberFormat="1" applyFont="1" applyFill="1" applyBorder="1" applyAlignment="1">
      <alignment horizontal="center" wrapText="1"/>
    </xf>
    <xf numFmtId="1" fontId="56" fillId="3" borderId="14" xfId="1" applyNumberFormat="1" applyFont="1" applyFill="1" applyBorder="1" applyAlignment="1">
      <alignment horizontal="center" vertical="center"/>
    </xf>
    <xf numFmtId="1" fontId="56" fillId="3" borderId="14" xfId="46" applyNumberFormat="1" applyFont="1" applyFill="1" applyBorder="1" applyAlignment="1">
      <alignment horizontal="center" vertical="center"/>
    </xf>
    <xf numFmtId="1" fontId="56" fillId="3" borderId="27" xfId="46" applyNumberFormat="1" applyFont="1" applyFill="1" applyBorder="1" applyAlignment="1">
      <alignment horizontal="center" vertical="center"/>
    </xf>
    <xf numFmtId="1" fontId="50" fillId="4" borderId="5" xfId="0" applyNumberFormat="1" applyFont="1" applyFill="1" applyBorder="1" applyAlignment="1">
      <alignment horizontal="center"/>
    </xf>
    <xf numFmtId="2" fontId="50" fillId="0" borderId="1" xfId="0" applyNumberFormat="1" applyFont="1" applyBorder="1" applyAlignment="1">
      <alignment horizontal="center" vertical="top" wrapText="1"/>
    </xf>
    <xf numFmtId="2" fontId="55" fillId="0" borderId="1" xfId="0" applyNumberFormat="1" applyFont="1" applyBorder="1" applyAlignment="1">
      <alignment horizontal="center" vertical="top" wrapText="1"/>
    </xf>
    <xf numFmtId="2" fontId="50" fillId="0" borderId="12" xfId="0" applyNumberFormat="1" applyFont="1" applyBorder="1" applyAlignment="1">
      <alignment horizontal="center" vertical="top"/>
    </xf>
    <xf numFmtId="1" fontId="50" fillId="0" borderId="9" xfId="0" applyNumberFormat="1" applyFont="1" applyBorder="1" applyAlignment="1">
      <alignment horizontal="center"/>
    </xf>
    <xf numFmtId="1" fontId="50" fillId="0" borderId="8" xfId="0" applyNumberFormat="1" applyFont="1" applyBorder="1" applyAlignment="1">
      <alignment horizontal="center" wrapText="1"/>
    </xf>
    <xf numFmtId="165" fontId="50" fillId="0" borderId="6" xfId="1" applyNumberFormat="1" applyFont="1" applyFill="1" applyBorder="1" applyAlignment="1">
      <alignment horizontal="center"/>
    </xf>
    <xf numFmtId="1" fontId="50" fillId="0" borderId="6" xfId="43" applyNumberFormat="1" applyFont="1" applyFill="1" applyBorder="1" applyAlignment="1">
      <alignment horizontal="center"/>
    </xf>
    <xf numFmtId="165" fontId="50" fillId="0" borderId="14" xfId="1" applyNumberFormat="1" applyFont="1" applyFill="1" applyBorder="1" applyAlignment="1">
      <alignment horizontal="center"/>
    </xf>
    <xf numFmtId="1" fontId="50" fillId="0" borderId="14" xfId="43" applyNumberFormat="1" applyFont="1" applyFill="1" applyBorder="1" applyAlignment="1">
      <alignment horizontal="center"/>
    </xf>
    <xf numFmtId="0" fontId="50" fillId="0" borderId="2" xfId="0" applyFont="1" applyBorder="1" applyAlignment="1">
      <alignment horizontal="center" vertical="center"/>
    </xf>
    <xf numFmtId="0" fontId="50" fillId="0" borderId="4" xfId="0" applyFont="1" applyBorder="1" applyAlignment="1">
      <alignment horizontal="center" vertical="center"/>
    </xf>
    <xf numFmtId="1" fontId="50" fillId="0" borderId="15" xfId="0" applyNumberFormat="1" applyFont="1" applyBorder="1" applyAlignment="1">
      <alignment horizontal="center" vertical="center"/>
    </xf>
    <xf numFmtId="1" fontId="56" fillId="0" borderId="4" xfId="46" applyNumberFormat="1" applyFont="1" applyBorder="1" applyAlignment="1">
      <alignment horizontal="center" vertical="center" wrapText="1"/>
    </xf>
    <xf numFmtId="165" fontId="50" fillId="0" borderId="2" xfId="1" applyNumberFormat="1" applyFont="1" applyFill="1" applyBorder="1" applyAlignment="1">
      <alignment horizontal="center"/>
    </xf>
    <xf numFmtId="1" fontId="50" fillId="0" borderId="2" xfId="43" applyNumberFormat="1" applyFont="1" applyFill="1" applyBorder="1" applyAlignment="1">
      <alignment horizontal="center"/>
    </xf>
    <xf numFmtId="0" fontId="50" fillId="0" borderId="5" xfId="0" applyFont="1" applyBorder="1" applyAlignment="1">
      <alignment horizontal="center" vertical="center"/>
    </xf>
    <xf numFmtId="0" fontId="50" fillId="0" borderId="11" xfId="0" applyFont="1" applyBorder="1" applyAlignment="1">
      <alignment horizontal="center" vertical="center"/>
    </xf>
    <xf numFmtId="1" fontId="50" fillId="0" borderId="1" xfId="0" applyNumberFormat="1" applyFont="1" applyBorder="1" applyAlignment="1">
      <alignment horizontal="center" vertical="center"/>
    </xf>
    <xf numFmtId="165" fontId="50" fillId="0" borderId="5" xfId="1" applyNumberFormat="1" applyFont="1" applyFill="1" applyBorder="1" applyAlignment="1">
      <alignment horizontal="center" vertical="center"/>
    </xf>
    <xf numFmtId="1" fontId="50" fillId="0" borderId="5" xfId="43" applyNumberFormat="1" applyFont="1" applyFill="1" applyBorder="1" applyAlignment="1">
      <alignment horizontal="center" vertical="center"/>
    </xf>
    <xf numFmtId="0" fontId="50" fillId="0" borderId="0" xfId="0" applyFont="1" applyAlignment="1">
      <alignment horizontal="center" vertical="center"/>
    </xf>
    <xf numFmtId="0" fontId="50" fillId="0" borderId="6" xfId="0" applyFont="1" applyBorder="1" applyAlignment="1">
      <alignment horizontal="center" vertical="center"/>
    </xf>
    <xf numFmtId="0" fontId="50" fillId="0" borderId="8" xfId="0" applyFont="1" applyBorder="1" applyAlignment="1">
      <alignment horizontal="center" vertical="center"/>
    </xf>
    <xf numFmtId="0" fontId="50" fillId="0" borderId="9" xfId="0" applyFont="1" applyBorder="1" applyAlignment="1">
      <alignment horizontal="center" vertical="center"/>
    </xf>
    <xf numFmtId="165" fontId="55" fillId="0" borderId="6" xfId="1" applyNumberFormat="1" applyFont="1" applyBorder="1" applyAlignment="1">
      <alignment horizontal="center" vertical="center" wrapText="1"/>
    </xf>
    <xf numFmtId="0" fontId="50" fillId="0" borderId="14" xfId="0" applyFont="1" applyBorder="1" applyAlignment="1">
      <alignment horizontal="center" vertical="center"/>
    </xf>
    <xf numFmtId="0" fontId="50" fillId="0" borderId="27" xfId="0" applyFont="1" applyBorder="1" applyAlignment="1">
      <alignment horizontal="center" vertical="center"/>
    </xf>
    <xf numFmtId="165" fontId="55" fillId="0" borderId="14" xfId="1" applyNumberFormat="1" applyFont="1" applyBorder="1" applyAlignment="1">
      <alignment horizontal="center" vertical="center" wrapText="1"/>
    </xf>
    <xf numFmtId="179" fontId="55" fillId="0" borderId="14" xfId="1" applyNumberFormat="1" applyFont="1" applyBorder="1" applyAlignment="1">
      <alignment horizontal="center" vertical="center" wrapText="1"/>
    </xf>
    <xf numFmtId="168" fontId="55" fillId="0" borderId="14" xfId="0" applyNumberFormat="1" applyFont="1" applyBorder="1" applyAlignment="1">
      <alignment horizontal="center" vertical="center" wrapText="1"/>
    </xf>
    <xf numFmtId="168" fontId="55" fillId="0" borderId="27" xfId="0" applyNumberFormat="1" applyFont="1" applyBorder="1" applyAlignment="1">
      <alignment horizontal="center" vertical="center" wrapText="1"/>
    </xf>
    <xf numFmtId="173" fontId="50" fillId="0" borderId="14" xfId="0" applyNumberFormat="1" applyFont="1" applyBorder="1" applyAlignment="1">
      <alignment horizontal="center"/>
    </xf>
    <xf numFmtId="173" fontId="50" fillId="0" borderId="0" xfId="0" applyNumberFormat="1" applyFont="1" applyAlignment="1">
      <alignment horizontal="center"/>
    </xf>
    <xf numFmtId="165" fontId="55" fillId="0" borderId="5" xfId="1" applyNumberFormat="1" applyFont="1" applyBorder="1" applyAlignment="1">
      <alignment horizontal="center" vertical="center" wrapText="1"/>
    </xf>
    <xf numFmtId="1" fontId="50" fillId="0" borderId="8" xfId="1" applyNumberFormat="1" applyFont="1" applyBorder="1" applyAlignment="1">
      <alignment horizontal="center"/>
    </xf>
    <xf numFmtId="0" fontId="50" fillId="0" borderId="2" xfId="0" applyFont="1" applyBorder="1" applyAlignment="1">
      <alignment horizontal="center"/>
    </xf>
    <xf numFmtId="0" fontId="13" fillId="0" borderId="5" xfId="0" applyFont="1" applyBorder="1" applyAlignment="1">
      <alignment horizontal="center"/>
    </xf>
    <xf numFmtId="1" fontId="50" fillId="0" borderId="0" xfId="48" applyNumberFormat="1" applyFont="1" applyAlignment="1">
      <alignment horizontal="center"/>
    </xf>
    <xf numFmtId="1" fontId="50" fillId="0" borderId="14" xfId="48" applyNumberFormat="1" applyFont="1" applyBorder="1" applyAlignment="1">
      <alignment horizontal="center"/>
    </xf>
    <xf numFmtId="165" fontId="50" fillId="0" borderId="14" xfId="1" applyNumberFormat="1" applyFont="1" applyBorder="1" applyAlignment="1">
      <alignment horizontal="center"/>
    </xf>
    <xf numFmtId="1" fontId="51" fillId="0" borderId="8" xfId="0" applyNumberFormat="1" applyFont="1" applyBorder="1" applyAlignment="1">
      <alignment horizontal="center"/>
    </xf>
    <xf numFmtId="1" fontId="51" fillId="0" borderId="6" xfId="0" applyNumberFormat="1" applyFont="1" applyBorder="1" applyAlignment="1">
      <alignment horizontal="center"/>
    </xf>
    <xf numFmtId="165" fontId="50" fillId="0" borderId="6" xfId="1" applyNumberFormat="1" applyFont="1" applyBorder="1" applyAlignment="1">
      <alignment horizontal="center"/>
    </xf>
    <xf numFmtId="1" fontId="56" fillId="0" borderId="27" xfId="48" applyNumberFormat="1" applyFont="1" applyBorder="1" applyAlignment="1">
      <alignment horizontal="center" vertical="center" wrapText="1"/>
    </xf>
    <xf numFmtId="165" fontId="50" fillId="0" borderId="5" xfId="1" applyNumberFormat="1" applyFont="1" applyBorder="1" applyAlignment="1">
      <alignment horizontal="center" vertical="center"/>
    </xf>
    <xf numFmtId="1" fontId="54" fillId="4" borderId="27" xfId="0" applyNumberFormat="1" applyFont="1" applyFill="1" applyBorder="1" applyAlignment="1">
      <alignment horizontal="center" vertical="center" wrapText="1"/>
    </xf>
    <xf numFmtId="165" fontId="51" fillId="4" borderId="14" xfId="1" applyNumberFormat="1" applyFont="1" applyFill="1" applyBorder="1" applyAlignment="1">
      <alignment horizontal="center" vertical="center"/>
    </xf>
    <xf numFmtId="1" fontId="51" fillId="4" borderId="14" xfId="0" applyNumberFormat="1" applyFont="1" applyFill="1" applyBorder="1" applyAlignment="1">
      <alignment horizontal="center" vertical="center"/>
    </xf>
    <xf numFmtId="171" fontId="53" fillId="4" borderId="0" xfId="46" applyFont="1" applyFill="1" applyAlignment="1">
      <alignment horizontal="center"/>
    </xf>
    <xf numFmtId="171" fontId="33" fillId="0" borderId="2" xfId="46" applyFont="1" applyBorder="1" applyAlignment="1">
      <alignment vertical="center"/>
    </xf>
    <xf numFmtId="0" fontId="33" fillId="0" borderId="2" xfId="0" applyFont="1" applyBorder="1" applyAlignment="1">
      <alignment vertical="center" wrapText="1"/>
    </xf>
    <xf numFmtId="0" fontId="33" fillId="0" borderId="9" xfId="0" applyFont="1" applyBorder="1"/>
    <xf numFmtId="0" fontId="33" fillId="0" borderId="10" xfId="0" applyFont="1" applyBorder="1"/>
    <xf numFmtId="0" fontId="33" fillId="0" borderId="26" xfId="0" applyFont="1" applyBorder="1"/>
    <xf numFmtId="0" fontId="7" fillId="4" borderId="0" xfId="0" applyFont="1" applyFill="1" applyAlignment="1">
      <alignment horizontal="centerContinuous" vertical="center"/>
    </xf>
    <xf numFmtId="0" fontId="4" fillId="4" borderId="0" xfId="0" applyFont="1" applyFill="1" applyAlignment="1">
      <alignment horizontal="centerContinuous" vertical="center"/>
    </xf>
    <xf numFmtId="0" fontId="4" fillId="0" borderId="0" xfId="0" applyFont="1"/>
    <xf numFmtId="0" fontId="3" fillId="16" borderId="0" xfId="0" applyFont="1" applyFill="1" applyAlignment="1">
      <alignment horizontal="center" vertical="center"/>
    </xf>
    <xf numFmtId="0" fontId="3" fillId="16" borderId="6" xfId="0" applyFont="1" applyFill="1" applyBorder="1" applyAlignment="1">
      <alignment horizontal="center" vertical="center"/>
    </xf>
    <xf numFmtId="0" fontId="3" fillId="16" borderId="26" xfId="0" applyFont="1" applyFill="1" applyBorder="1" applyAlignment="1">
      <alignment horizontal="center" vertical="center"/>
    </xf>
    <xf numFmtId="0" fontId="4" fillId="0" borderId="0" xfId="0" applyFont="1" applyAlignment="1">
      <alignment horizontal="center" vertical="center" wrapText="1"/>
    </xf>
    <xf numFmtId="0" fontId="4" fillId="0" borderId="14" xfId="1" applyNumberFormat="1" applyFont="1" applyBorder="1" applyAlignment="1">
      <alignment horizontal="center" vertical="center" wrapText="1"/>
    </xf>
    <xf numFmtId="1" fontId="4" fillId="0" borderId="26" xfId="1" applyNumberFormat="1" applyFont="1" applyBorder="1" applyAlignment="1">
      <alignment horizontal="center" vertical="center" wrapText="1"/>
    </xf>
    <xf numFmtId="0" fontId="4" fillId="0" borderId="14" xfId="0" applyFont="1" applyBorder="1" applyAlignment="1">
      <alignment horizontal="center" vertical="center" wrapText="1"/>
    </xf>
    <xf numFmtId="1" fontId="4" fillId="0" borderId="26" xfId="0" applyNumberFormat="1" applyFont="1" applyBorder="1" applyAlignment="1">
      <alignment horizontal="center" vertical="center" wrapText="1"/>
    </xf>
    <xf numFmtId="0" fontId="3" fillId="0" borderId="14" xfId="43" applyNumberFormat="1" applyFont="1" applyBorder="1" applyAlignment="1">
      <alignment horizontal="center"/>
    </xf>
    <xf numFmtId="0" fontId="4" fillId="0" borderId="6" xfId="0" applyFont="1" applyBorder="1" applyAlignment="1">
      <alignment horizontal="center" vertical="center" wrapText="1"/>
    </xf>
    <xf numFmtId="0" fontId="4" fillId="0" borderId="6" xfId="1" applyNumberFormat="1" applyFont="1" applyBorder="1" applyAlignment="1">
      <alignment horizontal="center"/>
    </xf>
    <xf numFmtId="0" fontId="4" fillId="0" borderId="9" xfId="1" applyNumberFormat="1" applyFont="1" applyBorder="1" applyAlignment="1">
      <alignment horizontal="center"/>
    </xf>
    <xf numFmtId="0" fontId="4" fillId="0" borderId="6" xfId="0" applyFont="1" applyBorder="1" applyAlignment="1">
      <alignment horizontal="center"/>
    </xf>
    <xf numFmtId="1" fontId="4" fillId="0" borderId="6" xfId="0" applyNumberFormat="1" applyFont="1" applyBorder="1" applyAlignment="1">
      <alignment horizontal="center"/>
    </xf>
    <xf numFmtId="0" fontId="4" fillId="0" borderId="14" xfId="1" applyNumberFormat="1" applyFont="1" applyBorder="1" applyAlignment="1">
      <alignment horizontal="center"/>
    </xf>
    <xf numFmtId="0" fontId="4" fillId="0" borderId="0" xfId="1" applyNumberFormat="1" applyFont="1" applyBorder="1" applyAlignment="1">
      <alignment horizontal="center"/>
    </xf>
    <xf numFmtId="0" fontId="4" fillId="0" borderId="14" xfId="0" applyFont="1" applyBorder="1" applyAlignment="1">
      <alignment horizontal="center"/>
    </xf>
    <xf numFmtId="1" fontId="4" fillId="0" borderId="14" xfId="0" applyNumberFormat="1" applyFont="1" applyBorder="1" applyAlignment="1">
      <alignment horizontal="center"/>
    </xf>
    <xf numFmtId="0" fontId="4" fillId="0" borderId="27" xfId="1" applyNumberFormat="1" applyFont="1" applyBorder="1" applyAlignment="1">
      <alignment horizontal="center"/>
    </xf>
    <xf numFmtId="0" fontId="4" fillId="0" borderId="5" xfId="0" applyFont="1" applyBorder="1" applyAlignment="1">
      <alignment horizontal="center" vertical="center" wrapText="1"/>
    </xf>
    <xf numFmtId="0" fontId="4" fillId="0" borderId="5"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5" xfId="0" applyFont="1" applyBorder="1" applyAlignment="1">
      <alignment horizontal="center"/>
    </xf>
    <xf numFmtId="1" fontId="4" fillId="0" borderId="5"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1" applyNumberFormat="1" applyFont="1" applyBorder="1" applyAlignment="1">
      <alignment horizontal="center" vertical="center" wrapText="1"/>
    </xf>
    <xf numFmtId="0" fontId="4" fillId="0" borderId="26" xfId="0" applyFont="1" applyBorder="1" applyAlignment="1">
      <alignment horizontal="center" vertical="center" wrapText="1"/>
    </xf>
    <xf numFmtId="0" fontId="4" fillId="0" borderId="8" xfId="1" applyNumberFormat="1" applyFont="1" applyBorder="1" applyAlignment="1">
      <alignment horizontal="center"/>
    </xf>
    <xf numFmtId="0" fontId="4" fillId="0" borderId="26" xfId="1" applyNumberFormat="1" applyFont="1" applyBorder="1" applyAlignment="1">
      <alignment horizontal="center" vertical="center" wrapText="1"/>
    </xf>
    <xf numFmtId="0" fontId="7" fillId="17" borderId="27" xfId="0" applyFont="1" applyFill="1" applyBorder="1" applyAlignment="1">
      <alignment horizontal="center" vertical="center" textRotation="90" wrapText="1"/>
    </xf>
    <xf numFmtId="0" fontId="4" fillId="0" borderId="0" xfId="1" applyNumberFormat="1" applyFont="1" applyBorder="1" applyAlignment="1">
      <alignment horizontal="center" vertical="center" wrapText="1"/>
    </xf>
    <xf numFmtId="0" fontId="11" fillId="0" borderId="27" xfId="0" applyFont="1" applyBorder="1" applyAlignment="1">
      <alignment vertical="center" textRotation="90"/>
    </xf>
    <xf numFmtId="0" fontId="11" fillId="30" borderId="31" xfId="0" applyFont="1" applyFill="1" applyBorder="1" applyAlignment="1">
      <alignment horizontal="center" vertical="center"/>
    </xf>
    <xf numFmtId="0" fontId="3" fillId="16" borderId="32" xfId="1" applyNumberFormat="1" applyFont="1" applyFill="1" applyBorder="1" applyAlignment="1">
      <alignment horizontal="center" vertical="center"/>
    </xf>
    <xf numFmtId="0" fontId="3" fillId="16" borderId="33" xfId="1" applyNumberFormat="1" applyFont="1" applyFill="1" applyBorder="1" applyAlignment="1">
      <alignment horizontal="center" vertical="center"/>
    </xf>
    <xf numFmtId="0" fontId="3" fillId="16" borderId="32" xfId="0" applyFont="1" applyFill="1" applyBorder="1" applyAlignment="1">
      <alignment horizontal="center" vertical="center"/>
    </xf>
    <xf numFmtId="0" fontId="3" fillId="16" borderId="31" xfId="0" applyFont="1" applyFill="1" applyBorder="1" applyAlignment="1">
      <alignment horizontal="center" vertical="center"/>
    </xf>
    <xf numFmtId="0" fontId="3" fillId="16" borderId="34" xfId="0" applyFont="1" applyFill="1" applyBorder="1" applyAlignment="1">
      <alignment horizontal="center" vertical="center"/>
    </xf>
    <xf numFmtId="0" fontId="4" fillId="0" borderId="26" xfId="0" applyFont="1" applyBorder="1"/>
    <xf numFmtId="0" fontId="3" fillId="0" borderId="14" xfId="1" applyNumberFormat="1" applyFont="1" applyFill="1" applyBorder="1" applyAlignment="1">
      <alignment horizontal="center"/>
    </xf>
    <xf numFmtId="1" fontId="4" fillId="0" borderId="34" xfId="1" applyNumberFormat="1" applyFont="1" applyFill="1" applyBorder="1" applyAlignment="1">
      <alignment horizontal="center" vertical="center" wrapText="1"/>
    </xf>
    <xf numFmtId="1" fontId="4" fillId="0" borderId="34" xfId="0" applyNumberFormat="1" applyFont="1" applyBorder="1" applyAlignment="1">
      <alignment horizontal="center" vertical="center" wrapText="1"/>
    </xf>
    <xf numFmtId="0" fontId="3" fillId="0" borderId="12" xfId="0" applyFont="1" applyBorder="1"/>
    <xf numFmtId="3" fontId="4" fillId="0" borderId="0" xfId="42" applyNumberFormat="1" applyAlignment="1">
      <alignment horizontal="left" vertical="center" wrapText="1"/>
    </xf>
    <xf numFmtId="2" fontId="4" fillId="0" borderId="0" xfId="42" applyNumberFormat="1" applyAlignment="1">
      <alignment vertical="center"/>
    </xf>
    <xf numFmtId="2" fontId="7" fillId="0" borderId="0" xfId="42" applyNumberFormat="1" applyFont="1" applyAlignment="1">
      <alignment vertical="center"/>
    </xf>
    <xf numFmtId="0" fontId="7" fillId="0" borderId="27" xfId="42" applyFont="1" applyBorder="1" applyAlignment="1">
      <alignment vertical="center"/>
    </xf>
    <xf numFmtId="0" fontId="4" fillId="0" borderId="27" xfId="42" applyBorder="1" applyAlignment="1">
      <alignment vertical="center"/>
    </xf>
    <xf numFmtId="2" fontId="4" fillId="0" borderId="26" xfId="42" applyNumberFormat="1" applyBorder="1" applyAlignment="1">
      <alignment vertical="center"/>
    </xf>
    <xf numFmtId="2" fontId="7" fillId="0" borderId="26" xfId="42" applyNumberFormat="1" applyFont="1" applyBorder="1" applyAlignment="1">
      <alignment vertical="center"/>
    </xf>
    <xf numFmtId="0" fontId="7" fillId="0" borderId="11" xfId="42" applyFont="1" applyBorder="1" applyAlignment="1">
      <alignment vertical="center"/>
    </xf>
    <xf numFmtId="2" fontId="7" fillId="0" borderId="1" xfId="42" applyNumberFormat="1" applyFont="1" applyBorder="1" applyAlignment="1">
      <alignment vertical="center"/>
    </xf>
    <xf numFmtId="0" fontId="4" fillId="0" borderId="1" xfId="42" applyBorder="1" applyAlignment="1">
      <alignment vertical="center"/>
    </xf>
    <xf numFmtId="0" fontId="4" fillId="0" borderId="12" xfId="42" applyBorder="1" applyAlignment="1">
      <alignment vertical="center"/>
    </xf>
    <xf numFmtId="0" fontId="0" fillId="0" borderId="0" xfId="0" quotePrefix="1"/>
    <xf numFmtId="0" fontId="58" fillId="0" borderId="0" xfId="0" applyFont="1" applyAlignment="1">
      <alignment horizontal="center" vertical="center" wrapText="1"/>
    </xf>
    <xf numFmtId="1" fontId="58" fillId="0" borderId="0" xfId="0" applyNumberFormat="1" applyFont="1" applyAlignment="1">
      <alignment horizontal="center"/>
    </xf>
    <xf numFmtId="1" fontId="58" fillId="0" borderId="0" xfId="0" applyNumberFormat="1" applyFont="1" applyAlignment="1">
      <alignment horizontal="center" vertical="center" wrapText="1"/>
    </xf>
    <xf numFmtId="0" fontId="57" fillId="32" borderId="0" xfId="0" applyFont="1" applyFill="1"/>
    <xf numFmtId="0" fontId="57" fillId="32" borderId="0" xfId="0" applyFont="1" applyFill="1" applyAlignment="1">
      <alignment horizontal="center"/>
    </xf>
    <xf numFmtId="0" fontId="0" fillId="33" borderId="0" xfId="0" applyFill="1"/>
    <xf numFmtId="2" fontId="10" fillId="0" borderId="12" xfId="0" applyNumberFormat="1" applyFont="1" applyBorder="1" applyAlignment="1">
      <alignment horizontal="center" vertical="top"/>
    </xf>
    <xf numFmtId="0" fontId="10" fillId="0" borderId="1" xfId="0" applyFont="1" applyBorder="1" applyAlignment="1">
      <alignment horizontal="center" vertical="top" wrapText="1"/>
    </xf>
    <xf numFmtId="0" fontId="10" fillId="0" borderId="11" xfId="0" applyFont="1" applyBorder="1" applyAlignment="1">
      <alignment horizontal="center" wrapText="1"/>
    </xf>
    <xf numFmtId="0" fontId="3" fillId="0" borderId="0" xfId="0" applyFont="1" applyAlignment="1">
      <alignment horizontal="center" vertical="top" wrapText="1"/>
    </xf>
    <xf numFmtId="0" fontId="3" fillId="0" borderId="27" xfId="0" applyFont="1" applyBorder="1" applyAlignment="1">
      <alignment horizontal="center" vertical="top" wrapText="1"/>
    </xf>
    <xf numFmtId="0" fontId="3" fillId="0" borderId="27" xfId="0" applyFont="1" applyBorder="1" applyAlignment="1">
      <alignment horizontal="center" wrapText="1"/>
    </xf>
    <xf numFmtId="1" fontId="3" fillId="23" borderId="0" xfId="0" applyNumberFormat="1" applyFont="1" applyFill="1" applyAlignment="1">
      <alignment horizontal="center"/>
    </xf>
    <xf numFmtId="0" fontId="3" fillId="23" borderId="0" xfId="0" applyFont="1" applyFill="1" applyAlignment="1">
      <alignment horizontal="center" wrapText="1"/>
    </xf>
    <xf numFmtId="1" fontId="9" fillId="23" borderId="0" xfId="0" applyNumberFormat="1" applyFont="1" applyFill="1" applyAlignment="1">
      <alignment horizontal="center" vertical="center"/>
    </xf>
    <xf numFmtId="0" fontId="9" fillId="23" borderId="0" xfId="0" applyFont="1" applyFill="1" applyAlignment="1">
      <alignment horizontal="center" vertical="center"/>
    </xf>
    <xf numFmtId="0" fontId="3" fillId="4" borderId="0" xfId="0" applyFont="1" applyFill="1" applyAlignment="1">
      <alignment horizontal="center" wrapText="1"/>
    </xf>
    <xf numFmtId="0" fontId="3" fillId="19" borderId="0" xfId="0" applyFont="1" applyFill="1" applyAlignment="1">
      <alignment horizontal="center" vertical="top" wrapText="1"/>
    </xf>
    <xf numFmtId="1" fontId="3" fillId="19" borderId="0" xfId="0" applyNumberFormat="1" applyFont="1" applyFill="1" applyAlignment="1">
      <alignment horizontal="center" vertical="top" wrapText="1"/>
    </xf>
    <xf numFmtId="1" fontId="3" fillId="0" borderId="0" xfId="0" applyNumberFormat="1" applyFont="1" applyAlignment="1">
      <alignment horizontal="center" vertical="top" wrapText="1"/>
    </xf>
    <xf numFmtId="0" fontId="9" fillId="0" borderId="27" xfId="0" applyFont="1" applyBorder="1" applyAlignment="1">
      <alignment horizontal="center" vertical="center"/>
    </xf>
    <xf numFmtId="0" fontId="10" fillId="4" borderId="0" xfId="0" applyFont="1" applyFill="1" applyAlignment="1">
      <alignment horizontal="center" vertical="top" wrapText="1"/>
    </xf>
    <xf numFmtId="0" fontId="10" fillId="4" borderId="0" xfId="0" applyFont="1" applyFill="1" applyAlignment="1">
      <alignment horizontal="center" vertical="center" wrapText="1"/>
    </xf>
    <xf numFmtId="1" fontId="0" fillId="0" borderId="0" xfId="0" applyNumberFormat="1" applyAlignment="1">
      <alignment horizontal="center"/>
    </xf>
    <xf numFmtId="0" fontId="10" fillId="0" borderId="1" xfId="0" applyFont="1" applyBorder="1" applyAlignment="1">
      <alignment horizontal="center" wrapText="1"/>
    </xf>
    <xf numFmtId="0" fontId="0" fillId="23" borderId="0" xfId="0" applyFill="1"/>
    <xf numFmtId="0" fontId="0" fillId="23" borderId="0" xfId="0" applyFill="1" applyAlignment="1">
      <alignment horizontal="center"/>
    </xf>
    <xf numFmtId="0" fontId="10" fillId="4" borderId="4" xfId="0" applyFont="1" applyFill="1" applyBorder="1" applyAlignment="1">
      <alignment horizontal="center" vertical="center" wrapText="1"/>
    </xf>
    <xf numFmtId="0" fontId="10" fillId="4" borderId="15" xfId="0" applyFont="1" applyFill="1" applyBorder="1" applyAlignment="1">
      <alignment horizontal="center" wrapText="1"/>
    </xf>
    <xf numFmtId="0" fontId="10" fillId="4" borderId="7" xfId="0" applyFont="1" applyFill="1" applyBorder="1" applyAlignment="1">
      <alignment horizontal="center" wrapText="1"/>
    </xf>
    <xf numFmtId="2" fontId="0" fillId="33" borderId="0" xfId="0" applyNumberFormat="1" applyFill="1" applyAlignment="1">
      <alignment horizontal="left"/>
    </xf>
    <xf numFmtId="2" fontId="0" fillId="33" borderId="0" xfId="0" quotePrefix="1" applyNumberFormat="1" applyFill="1" applyAlignment="1">
      <alignment horizontal="left"/>
    </xf>
    <xf numFmtId="1" fontId="0" fillId="0" borderId="0" xfId="0" quotePrefix="1" applyNumberFormat="1"/>
    <xf numFmtId="0" fontId="10" fillId="17" borderId="15" xfId="4" applyNumberFormat="1" applyFont="1" applyFill="1" applyBorder="1" applyAlignment="1">
      <alignment horizontal="center" vertical="center"/>
    </xf>
    <xf numFmtId="0" fontId="10" fillId="17" borderId="7" xfId="4" applyNumberFormat="1" applyFont="1" applyFill="1" applyBorder="1" applyAlignment="1">
      <alignment horizontal="center" vertical="center"/>
    </xf>
    <xf numFmtId="2" fontId="9" fillId="22" borderId="0" xfId="0" applyNumberFormat="1" applyFont="1" applyFill="1" applyAlignment="1">
      <alignment horizontal="center" vertical="center"/>
    </xf>
    <xf numFmtId="2" fontId="8" fillId="22" borderId="1" xfId="0" applyNumberFormat="1" applyFont="1" applyFill="1" applyBorder="1" applyAlignment="1">
      <alignment horizontal="center" vertical="center"/>
    </xf>
    <xf numFmtId="0" fontId="59" fillId="0" borderId="27" xfId="0" applyFont="1" applyBorder="1" applyAlignment="1">
      <alignment horizontal="center" vertical="center"/>
    </xf>
    <xf numFmtId="0" fontId="59" fillId="0" borderId="0" xfId="0"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2" fontId="59" fillId="0" borderId="0" xfId="0" applyNumberFormat="1" applyFont="1" applyAlignment="1">
      <alignment horizontal="center"/>
    </xf>
    <xf numFmtId="0" fontId="59" fillId="0" borderId="0" xfId="0" applyFont="1"/>
    <xf numFmtId="2" fontId="3" fillId="0" borderId="0" xfId="0" applyNumberFormat="1" applyFont="1" applyAlignment="1">
      <alignment horizontal="center" vertical="center"/>
    </xf>
    <xf numFmtId="0" fontId="58" fillId="0" borderId="0" xfId="0" applyFont="1" applyAlignment="1">
      <alignment horizontal="centerContinuous" vertical="center" wrapText="1"/>
    </xf>
    <xf numFmtId="170" fontId="8" fillId="17" borderId="0" xfId="3" applyNumberFormat="1" applyFont="1" applyFill="1" applyBorder="1" applyAlignment="1">
      <alignment horizontal="center" vertical="center"/>
    </xf>
    <xf numFmtId="165" fontId="0" fillId="33" borderId="0" xfId="1" applyNumberFormat="1" applyFont="1" applyFill="1"/>
    <xf numFmtId="165" fontId="0" fillId="0" borderId="0" xfId="1" applyNumberFormat="1" applyFont="1"/>
    <xf numFmtId="165" fontId="57" fillId="32" borderId="0" xfId="1" applyNumberFormat="1" applyFont="1" applyFill="1" applyAlignment="1">
      <alignment horizontal="center"/>
    </xf>
    <xf numFmtId="165" fontId="0" fillId="33" borderId="0" xfId="1" quotePrefix="1" applyNumberFormat="1" applyFont="1" applyFill="1" applyAlignment="1">
      <alignment horizontal="center"/>
    </xf>
    <xf numFmtId="165" fontId="0" fillId="0" borderId="0" xfId="1" quotePrefix="1" applyNumberFormat="1" applyFont="1" applyAlignment="1">
      <alignment horizontal="center" vertical="center"/>
    </xf>
    <xf numFmtId="2" fontId="7" fillId="0" borderId="0" xfId="42" applyNumberFormat="1" applyFont="1" applyAlignment="1">
      <alignment horizontal="center" vertical="center"/>
    </xf>
    <xf numFmtId="2" fontId="7" fillId="0" borderId="26" xfId="42" applyNumberFormat="1" applyFont="1" applyBorder="1" applyAlignment="1">
      <alignment horizontal="center" vertical="center"/>
    </xf>
    <xf numFmtId="2" fontId="7" fillId="0" borderId="1" xfId="42" applyNumberFormat="1" applyFont="1" applyBorder="1" applyAlignment="1">
      <alignment horizontal="center" vertical="center"/>
    </xf>
    <xf numFmtId="0" fontId="0" fillId="0" borderId="0" xfId="0" applyAlignment="1">
      <alignment horizontal="left"/>
    </xf>
    <xf numFmtId="0" fontId="7" fillId="0" borderId="27" xfId="42" applyFont="1" applyBorder="1" applyAlignment="1">
      <alignment horizontal="left" vertical="center"/>
    </xf>
    <xf numFmtId="0" fontId="4" fillId="0" borderId="27" xfId="42" applyBorder="1" applyAlignment="1">
      <alignment horizontal="left" vertical="center"/>
    </xf>
    <xf numFmtId="0" fontId="7" fillId="0" borderId="11" xfId="42" applyFont="1" applyBorder="1" applyAlignment="1">
      <alignment horizontal="left" vertical="center"/>
    </xf>
    <xf numFmtId="9" fontId="7" fillId="0" borderId="0" xfId="3" applyFont="1" applyBorder="1" applyAlignment="1">
      <alignment horizontal="center" vertical="center"/>
    </xf>
    <xf numFmtId="9" fontId="4" fillId="0" borderId="0" xfId="3" applyFont="1" applyBorder="1" applyAlignment="1">
      <alignment horizontal="center" vertical="center"/>
    </xf>
    <xf numFmtId="9" fontId="7" fillId="0" borderId="1" xfId="3" applyFont="1" applyBorder="1" applyAlignment="1">
      <alignment horizontal="center" vertical="center"/>
    </xf>
    <xf numFmtId="0" fontId="4" fillId="0" borderId="27" xfId="42" applyBorder="1" applyAlignment="1">
      <alignment horizontal="center" vertical="center"/>
    </xf>
    <xf numFmtId="170" fontId="4" fillId="0" borderId="0" xfId="42" applyNumberFormat="1" applyAlignment="1">
      <alignment vertical="center"/>
    </xf>
    <xf numFmtId="3" fontId="4" fillId="0" borderId="0" xfId="42" applyNumberFormat="1" applyAlignment="1">
      <alignment vertical="center"/>
    </xf>
    <xf numFmtId="3" fontId="4" fillId="0" borderId="26" xfId="42" applyNumberFormat="1" applyBorder="1"/>
    <xf numFmtId="0" fontId="4" fillId="0" borderId="27" xfId="42" applyBorder="1" applyAlignment="1">
      <alignment horizontal="center" vertical="center" wrapText="1"/>
    </xf>
    <xf numFmtId="0" fontId="48" fillId="0" borderId="27" xfId="42" applyFont="1" applyBorder="1" applyAlignment="1">
      <alignment vertical="center"/>
    </xf>
    <xf numFmtId="0" fontId="4" fillId="0" borderId="26" xfId="42" applyBorder="1"/>
    <xf numFmtId="0" fontId="7" fillId="31" borderId="0" xfId="42" applyFont="1" applyFill="1" applyAlignment="1">
      <alignment horizontal="center" vertical="center"/>
    </xf>
    <xf numFmtId="0" fontId="7" fillId="31" borderId="26" xfId="42" applyFont="1" applyFill="1" applyBorder="1" applyAlignment="1">
      <alignment horizontal="center" vertical="center"/>
    </xf>
    <xf numFmtId="3" fontId="4" fillId="0" borderId="11" xfId="42" applyNumberFormat="1" applyBorder="1" applyAlignment="1">
      <alignment horizontal="left" vertical="center" wrapText="1"/>
    </xf>
    <xf numFmtId="2" fontId="7" fillId="0" borderId="12" xfId="42" applyNumberFormat="1" applyFont="1" applyBorder="1" applyAlignment="1">
      <alignment horizontal="center" vertical="center"/>
    </xf>
    <xf numFmtId="9" fontId="4" fillId="0" borderId="14" xfId="3" applyFont="1" applyBorder="1" applyAlignment="1">
      <alignment horizontal="center" vertical="center"/>
    </xf>
    <xf numFmtId="9" fontId="4" fillId="0" borderId="5" xfId="3" applyFont="1" applyBorder="1" applyAlignment="1">
      <alignment horizontal="center" vertical="center"/>
    </xf>
    <xf numFmtId="171" fontId="60" fillId="0" borderId="0" xfId="46" applyFont="1"/>
    <xf numFmtId="171" fontId="10" fillId="16" borderId="0" xfId="46" applyFont="1" applyFill="1" applyAlignment="1">
      <alignment horizontal="center" vertical="center"/>
    </xf>
    <xf numFmtId="0" fontId="8" fillId="24" borderId="0" xfId="0" applyFont="1" applyFill="1" applyAlignment="1">
      <alignment horizontal="center" vertical="center"/>
    </xf>
    <xf numFmtId="0" fontId="8" fillId="24" borderId="0" xfId="0" applyFont="1" applyFill="1" applyAlignment="1">
      <alignment horizontal="center" vertical="center" wrapText="1"/>
    </xf>
    <xf numFmtId="171" fontId="10" fillId="16" borderId="6" xfId="46" applyFont="1" applyFill="1" applyBorder="1" applyAlignment="1">
      <alignment horizontal="center"/>
    </xf>
    <xf numFmtId="171" fontId="3" fillId="0" borderId="0" xfId="0" applyNumberFormat="1" applyFont="1"/>
    <xf numFmtId="171" fontId="3" fillId="0" borderId="26" xfId="0" applyNumberFormat="1" applyFont="1" applyBorder="1"/>
    <xf numFmtId="178" fontId="3" fillId="0" borderId="26" xfId="0" applyNumberFormat="1" applyFont="1" applyBorder="1"/>
    <xf numFmtId="174" fontId="3" fillId="0" borderId="0" xfId="0" applyNumberFormat="1" applyFont="1"/>
    <xf numFmtId="174" fontId="3" fillId="0" borderId="26" xfId="0" applyNumberFormat="1" applyFont="1" applyBorder="1"/>
    <xf numFmtId="174" fontId="3" fillId="0" borderId="1" xfId="0" applyNumberFormat="1" applyFont="1" applyBorder="1"/>
    <xf numFmtId="174" fontId="3" fillId="0" borderId="12" xfId="0" applyNumberFormat="1" applyFont="1" applyBorder="1"/>
    <xf numFmtId="173" fontId="3" fillId="0" borderId="26" xfId="0" applyNumberFormat="1" applyFont="1" applyBorder="1" applyAlignment="1">
      <alignment horizontal="center"/>
    </xf>
    <xf numFmtId="1" fontId="4" fillId="0" borderId="11" xfId="0" applyNumberFormat="1" applyFont="1" applyBorder="1" applyAlignment="1">
      <alignment horizontal="center"/>
    </xf>
    <xf numFmtId="9" fontId="33" fillId="0" borderId="0" xfId="3" applyFont="1" applyFill="1" applyBorder="1" applyAlignment="1">
      <alignment horizontal="center"/>
    </xf>
    <xf numFmtId="1" fontId="10" fillId="28" borderId="0" xfId="0" applyNumberFormat="1" applyFont="1" applyFill="1" applyAlignment="1">
      <alignment horizontal="center" vertical="center"/>
    </xf>
    <xf numFmtId="1" fontId="61" fillId="0" borderId="0" xfId="0" applyNumberFormat="1" applyFont="1" applyAlignment="1">
      <alignment horizontal="center"/>
    </xf>
    <xf numFmtId="1" fontId="62" fillId="0" borderId="0" xfId="0" applyNumberFormat="1" applyFont="1" applyAlignment="1">
      <alignment horizontal="center"/>
    </xf>
    <xf numFmtId="0" fontId="61" fillId="0" borderId="0" xfId="0" applyFont="1" applyAlignment="1">
      <alignment wrapText="1"/>
    </xf>
    <xf numFmtId="0" fontId="63" fillId="0" borderId="0" xfId="0" applyFont="1" applyAlignment="1">
      <alignment wrapText="1"/>
    </xf>
    <xf numFmtId="0" fontId="10" fillId="0" borderId="0" xfId="0" applyFont="1" applyAlignment="1">
      <alignment horizontal="left"/>
    </xf>
    <xf numFmtId="3" fontId="58" fillId="0" borderId="0" xfId="0" applyNumberFormat="1" applyFont="1" applyAlignment="1">
      <alignment horizontal="centerContinuous"/>
    </xf>
    <xf numFmtId="3" fontId="58" fillId="0" borderId="0" xfId="0" applyNumberFormat="1" applyFont="1" applyAlignment="1">
      <alignment horizontal="center"/>
    </xf>
    <xf numFmtId="2" fontId="4" fillId="0" borderId="0" xfId="0" applyNumberFormat="1" applyFont="1" applyAlignment="1">
      <alignment horizontal="center" vertical="center"/>
    </xf>
    <xf numFmtId="0" fontId="64" fillId="0" borderId="0" xfId="0" applyFont="1"/>
    <xf numFmtId="0" fontId="35" fillId="0" borderId="0" xfId="0" applyFont="1"/>
    <xf numFmtId="0" fontId="65" fillId="0" borderId="0" xfId="0" applyFont="1"/>
    <xf numFmtId="0" fontId="66" fillId="34" borderId="15" xfId="0" applyFont="1" applyFill="1" applyBorder="1" applyAlignment="1">
      <alignment horizontal="centerContinuous" vertical="center"/>
    </xf>
    <xf numFmtId="0" fontId="67" fillId="34" borderId="15" xfId="0" applyFont="1" applyFill="1" applyBorder="1" applyAlignment="1">
      <alignment horizontal="centerContinuous" vertical="center"/>
    </xf>
    <xf numFmtId="0" fontId="67" fillId="34" borderId="15" xfId="0" applyFont="1" applyFill="1" applyBorder="1" applyAlignment="1">
      <alignment horizontal="center" vertical="center"/>
    </xf>
    <xf numFmtId="0" fontId="66" fillId="34" borderId="4" xfId="0" applyFont="1" applyFill="1" applyBorder="1" applyAlignment="1">
      <alignment horizontal="left" vertical="center"/>
    </xf>
    <xf numFmtId="0" fontId="66" fillId="34" borderId="15" xfId="0" applyFont="1" applyFill="1" applyBorder="1" applyAlignment="1">
      <alignment horizontal="left" vertical="center"/>
    </xf>
    <xf numFmtId="0" fontId="66" fillId="34" borderId="4" xfId="0" applyFont="1" applyFill="1" applyBorder="1" applyAlignment="1">
      <alignment horizontal="centerContinuous" vertical="center"/>
    </xf>
    <xf numFmtId="0" fontId="68" fillId="34" borderId="15" xfId="0" applyFont="1" applyFill="1" applyBorder="1" applyAlignment="1">
      <alignment horizontal="centerContinuous" vertical="center"/>
    </xf>
    <xf numFmtId="0" fontId="68" fillId="34" borderId="7" xfId="0" applyFont="1" applyFill="1" applyBorder="1" applyAlignment="1">
      <alignment horizontal="centerContinuous" vertical="center"/>
    </xf>
    <xf numFmtId="0" fontId="69" fillId="0" borderId="0" xfId="0" applyFont="1" applyAlignment="1">
      <alignment horizontal="center" vertical="center"/>
    </xf>
    <xf numFmtId="1" fontId="3" fillId="0" borderId="0" xfId="0" applyNumberFormat="1" applyFont="1"/>
    <xf numFmtId="0" fontId="66" fillId="34" borderId="8" xfId="0" applyFont="1" applyFill="1" applyBorder="1" applyAlignment="1">
      <alignment horizontal="centerContinuous" vertical="center"/>
    </xf>
    <xf numFmtId="0" fontId="10" fillId="33" borderId="38" xfId="0" applyFont="1" applyFill="1" applyBorder="1"/>
    <xf numFmtId="0" fontId="70" fillId="33" borderId="38" xfId="0" applyFont="1" applyFill="1" applyBorder="1" applyAlignment="1">
      <alignment horizontal="center"/>
    </xf>
    <xf numFmtId="0" fontId="11" fillId="32" borderId="38" xfId="0" applyFont="1" applyFill="1" applyBorder="1" applyAlignment="1">
      <alignment horizontal="centerContinuous" vertical="center"/>
    </xf>
    <xf numFmtId="0" fontId="11" fillId="32" borderId="39" xfId="0" applyFont="1" applyFill="1" applyBorder="1" applyAlignment="1">
      <alignment horizontal="left"/>
    </xf>
    <xf numFmtId="0" fontId="11" fillId="32" borderId="40" xfId="0" applyFont="1" applyFill="1" applyBorder="1" applyAlignment="1">
      <alignment horizontal="center"/>
    </xf>
    <xf numFmtId="1" fontId="3" fillId="33" borderId="39" xfId="0" applyNumberFormat="1" applyFont="1" applyFill="1" applyBorder="1" applyAlignment="1">
      <alignment horizontal="center"/>
    </xf>
    <xf numFmtId="1" fontId="3" fillId="33" borderId="40" xfId="0" applyNumberFormat="1" applyFont="1" applyFill="1" applyBorder="1" applyAlignment="1">
      <alignment horizontal="center"/>
    </xf>
    <xf numFmtId="0" fontId="10" fillId="0" borderId="35" xfId="0" applyFont="1" applyBorder="1" applyAlignment="1">
      <alignment vertical="center"/>
    </xf>
    <xf numFmtId="1" fontId="3" fillId="0" borderId="36" xfId="0" applyNumberFormat="1" applyFont="1" applyBorder="1" applyAlignment="1">
      <alignment horizontal="center"/>
    </xf>
    <xf numFmtId="1" fontId="3" fillId="0" borderId="37" xfId="0" applyNumberFormat="1" applyFont="1" applyBorder="1" applyAlignment="1">
      <alignment horizontal="center"/>
    </xf>
    <xf numFmtId="1" fontId="10" fillId="0" borderId="35" xfId="0" applyNumberFormat="1" applyFont="1" applyBorder="1" applyAlignment="1">
      <alignment horizontal="center" vertical="center"/>
    </xf>
    <xf numFmtId="168" fontId="3" fillId="0" borderId="26" xfId="0" applyNumberFormat="1" applyFont="1" applyBorder="1" applyAlignment="1">
      <alignment horizontal="center"/>
    </xf>
    <xf numFmtId="0" fontId="10" fillId="0" borderId="0" xfId="0" applyFont="1" applyAlignment="1">
      <alignment horizontal="left" vertical="center" indent="1"/>
    </xf>
    <xf numFmtId="0" fontId="7" fillId="0" borderId="0" xfId="0" applyFont="1" applyAlignment="1">
      <alignment horizontal="left" vertical="center"/>
    </xf>
    <xf numFmtId="0" fontId="10" fillId="0" borderId="0" xfId="0" applyFont="1" applyAlignment="1">
      <alignment horizontal="left" wrapText="1"/>
    </xf>
    <xf numFmtId="1" fontId="3" fillId="0" borderId="0" xfId="0" applyNumberFormat="1" applyFont="1" applyAlignment="1">
      <alignment horizontal="left"/>
    </xf>
    <xf numFmtId="0" fontId="0" fillId="0" borderId="0" xfId="0" applyAlignment="1">
      <alignment wrapText="1"/>
    </xf>
    <xf numFmtId="0" fontId="0" fillId="4" borderId="0" xfId="0" applyFill="1" applyAlignment="1">
      <alignment wrapText="1"/>
    </xf>
    <xf numFmtId="14" fontId="0" fillId="0" borderId="0" xfId="0" applyNumberFormat="1" applyAlignment="1">
      <alignment wrapText="1"/>
    </xf>
    <xf numFmtId="1" fontId="0" fillId="0" borderId="0" xfId="0" applyNumberFormat="1" applyAlignment="1">
      <alignment wrapText="1"/>
    </xf>
    <xf numFmtId="2" fontId="3" fillId="0" borderId="2" xfId="0" applyNumberFormat="1" applyFont="1" applyBorder="1" applyAlignment="1">
      <alignment horizontal="center"/>
    </xf>
    <xf numFmtId="2" fontId="0" fillId="0" borderId="0" xfId="0" applyNumberFormat="1" applyAlignment="1">
      <alignment horizontal="center"/>
    </xf>
    <xf numFmtId="2" fontId="0" fillId="0" borderId="0" xfId="0" applyNumberFormat="1" applyAlignment="1">
      <alignment wrapText="1"/>
    </xf>
    <xf numFmtId="9" fontId="0" fillId="0" borderId="0" xfId="3" applyFont="1" applyAlignment="1">
      <alignment wrapText="1"/>
    </xf>
    <xf numFmtId="9" fontId="0" fillId="0" borderId="0" xfId="0" applyNumberFormat="1" applyAlignment="1">
      <alignment wrapText="1"/>
    </xf>
    <xf numFmtId="14" fontId="0" fillId="0" borderId="0" xfId="0" applyNumberFormat="1"/>
    <xf numFmtId="168" fontId="0" fillId="0" borderId="0" xfId="0" applyNumberFormat="1" applyAlignment="1">
      <alignment horizontal="center"/>
    </xf>
    <xf numFmtId="1" fontId="0" fillId="4" borderId="0" xfId="0" applyNumberFormat="1" applyFill="1" applyAlignment="1">
      <alignment horizontal="center" wrapText="1"/>
    </xf>
    <xf numFmtId="2" fontId="13" fillId="0" borderId="0" xfId="46" applyNumberFormat="1" applyAlignment="1">
      <alignment horizontal="center" vertical="center"/>
    </xf>
    <xf numFmtId="178" fontId="10" fillId="0" borderId="0" xfId="46" applyNumberFormat="1" applyFont="1" applyAlignment="1">
      <alignment horizontal="center"/>
    </xf>
    <xf numFmtId="0" fontId="2" fillId="0" borderId="0" xfId="0" applyFont="1" applyAlignment="1">
      <alignment wrapText="1"/>
    </xf>
    <xf numFmtId="0" fontId="0" fillId="19" borderId="0" xfId="0" applyFill="1" applyAlignment="1">
      <alignment wrapText="1"/>
    </xf>
    <xf numFmtId="1" fontId="0" fillId="19" borderId="0" xfId="0" applyNumberFormat="1" applyFill="1" applyAlignment="1">
      <alignment horizontal="center" wrapText="1"/>
    </xf>
    <xf numFmtId="173" fontId="0" fillId="33" borderId="0" xfId="0" applyNumberFormat="1" applyFill="1" applyAlignment="1">
      <alignment horizontal="center"/>
    </xf>
    <xf numFmtId="173" fontId="0" fillId="0" borderId="0" xfId="0" applyNumberFormat="1"/>
    <xf numFmtId="3" fontId="4" fillId="0" borderId="27" xfId="42" applyNumberFormat="1" applyBorder="1" applyAlignment="1">
      <alignment horizontal="left" vertical="center" wrapText="1"/>
    </xf>
    <xf numFmtId="1" fontId="4" fillId="0" borderId="26" xfId="42" applyNumberFormat="1" applyBorder="1" applyAlignment="1">
      <alignment horizontal="center" vertical="center"/>
    </xf>
    <xf numFmtId="1" fontId="7" fillId="0" borderId="26" xfId="42" applyNumberFormat="1" applyFont="1" applyBorder="1" applyAlignment="1">
      <alignment horizontal="center" vertical="center"/>
    </xf>
    <xf numFmtId="1" fontId="7" fillId="0" borderId="12" xfId="42" applyNumberFormat="1" applyFont="1" applyBorder="1" applyAlignment="1">
      <alignment horizontal="center" vertical="center"/>
    </xf>
    <xf numFmtId="0" fontId="66" fillId="34" borderId="15" xfId="0" applyFont="1" applyFill="1" applyBorder="1" applyAlignment="1">
      <alignment horizontal="center" vertical="center"/>
    </xf>
    <xf numFmtId="0" fontId="7" fillId="17" borderId="8" xfId="0" applyFont="1" applyFill="1" applyBorder="1" applyAlignment="1">
      <alignment horizontal="center" vertical="center" textRotation="90" wrapText="1"/>
    </xf>
    <xf numFmtId="0" fontId="7" fillId="17" borderId="27" xfId="0" applyFont="1" applyFill="1" applyBorder="1" applyAlignment="1">
      <alignment horizontal="center" vertical="center" textRotation="90" wrapText="1"/>
    </xf>
    <xf numFmtId="0" fontId="3" fillId="4" borderId="27" xfId="0" applyFont="1" applyFill="1" applyBorder="1" applyAlignment="1">
      <alignment horizontal="right" vertical="center" wrapText="1"/>
    </xf>
    <xf numFmtId="0" fontId="3" fillId="4" borderId="26" xfId="0" applyFont="1" applyFill="1" applyBorder="1" applyAlignment="1">
      <alignment horizontal="right" vertical="center" wrapText="1"/>
    </xf>
    <xf numFmtId="0" fontId="3" fillId="4" borderId="27" xfId="0" applyFont="1" applyFill="1" applyBorder="1" applyAlignment="1">
      <alignment horizontal="center" vertical="center" wrapText="1"/>
    </xf>
    <xf numFmtId="0" fontId="3" fillId="4" borderId="26" xfId="0" applyFont="1" applyFill="1" applyBorder="1" applyAlignment="1">
      <alignment horizontal="center" vertical="center" wrapText="1"/>
    </xf>
    <xf numFmtId="0" fontId="7" fillId="4" borderId="6" xfId="0" applyFont="1" applyFill="1" applyBorder="1" applyAlignment="1">
      <alignment horizontal="center" vertical="center" textRotation="90"/>
    </xf>
    <xf numFmtId="0" fontId="7" fillId="4" borderId="14" xfId="0" applyFont="1" applyFill="1" applyBorder="1" applyAlignment="1">
      <alignment horizontal="center" vertical="center" textRotation="90"/>
    </xf>
    <xf numFmtId="0" fontId="7" fillId="4" borderId="5" xfId="0" applyFont="1" applyFill="1" applyBorder="1" applyAlignment="1">
      <alignment horizontal="center" vertical="center" textRotation="90"/>
    </xf>
    <xf numFmtId="0" fontId="7" fillId="4" borderId="8" xfId="0" applyFont="1" applyFill="1" applyBorder="1" applyAlignment="1">
      <alignment horizontal="center" vertical="center" textRotation="90"/>
    </xf>
    <xf numFmtId="0" fontId="7" fillId="4" borderId="27" xfId="0" applyFont="1" applyFill="1" applyBorder="1" applyAlignment="1">
      <alignment horizontal="center" vertical="center" textRotation="90"/>
    </xf>
    <xf numFmtId="0" fontId="7" fillId="4" borderId="11" xfId="0" applyFont="1" applyFill="1" applyBorder="1" applyAlignment="1">
      <alignment horizontal="center" vertical="center" textRotation="90"/>
    </xf>
    <xf numFmtId="0" fontId="2" fillId="0" borderId="0" xfId="0" applyFont="1" applyAlignment="1">
      <alignment horizontal="center" wrapText="1"/>
    </xf>
    <xf numFmtId="0" fontId="37" fillId="0" borderId="30" xfId="0" applyFont="1" applyBorder="1" applyAlignment="1">
      <alignment vertical="top"/>
    </xf>
    <xf numFmtId="0" fontId="37" fillId="0" borderId="3" xfId="0" applyFont="1" applyBorder="1" applyAlignment="1">
      <alignment vertical="top"/>
    </xf>
    <xf numFmtId="171" fontId="10" fillId="16" borderId="9" xfId="46" applyFont="1" applyFill="1" applyBorder="1" applyAlignment="1">
      <alignment horizontal="center"/>
    </xf>
    <xf numFmtId="171" fontId="10" fillId="16" borderId="10" xfId="46" applyFont="1" applyFill="1" applyBorder="1" applyAlignment="1">
      <alignment horizontal="center"/>
    </xf>
    <xf numFmtId="0" fontId="38" fillId="0" borderId="3" xfId="0" applyFont="1" applyBorder="1" applyAlignment="1">
      <alignment vertical="center"/>
    </xf>
    <xf numFmtId="0" fontId="10" fillId="0" borderId="30" xfId="0" applyFont="1" applyBorder="1" applyAlignment="1">
      <alignment vertical="center"/>
    </xf>
    <xf numFmtId="0" fontId="40" fillId="0" borderId="3" xfId="0" applyFont="1" applyBorder="1" applyAlignment="1">
      <alignment vertical="center"/>
    </xf>
    <xf numFmtId="0" fontId="50" fillId="0" borderId="0" xfId="0" applyFont="1" applyAlignment="1">
      <alignment horizontal="left" vertical="top" wrapText="1"/>
    </xf>
    <xf numFmtId="0" fontId="50" fillId="0" borderId="26" xfId="0" applyFont="1" applyBorder="1" applyAlignment="1">
      <alignment horizontal="left" vertical="top" wrapText="1"/>
    </xf>
    <xf numFmtId="0" fontId="50" fillId="0" borderId="6" xfId="0" applyFont="1" applyBorder="1" applyAlignment="1">
      <alignment horizontal="center" vertical="center"/>
    </xf>
    <xf numFmtId="0" fontId="50" fillId="0" borderId="14" xfId="0" applyFont="1" applyBorder="1" applyAlignment="1">
      <alignment horizontal="center" vertical="center"/>
    </xf>
    <xf numFmtId="0" fontId="50" fillId="0" borderId="5" xfId="0" applyFont="1" applyBorder="1" applyAlignment="1">
      <alignment horizontal="center" vertical="center"/>
    </xf>
    <xf numFmtId="0" fontId="50" fillId="4" borderId="6" xfId="0" applyFont="1" applyFill="1" applyBorder="1" applyAlignment="1">
      <alignment horizontal="center" vertical="center"/>
    </xf>
    <xf numFmtId="0" fontId="50" fillId="4" borderId="14" xfId="0" applyFont="1" applyFill="1" applyBorder="1" applyAlignment="1">
      <alignment horizontal="center" vertical="center"/>
    </xf>
    <xf numFmtId="0" fontId="50" fillId="4" borderId="0" xfId="0" applyFont="1" applyFill="1" applyAlignment="1">
      <alignment horizontal="center" vertical="center"/>
    </xf>
    <xf numFmtId="0" fontId="50" fillId="0" borderId="6" xfId="0" applyFont="1" applyBorder="1" applyAlignment="1">
      <alignment horizontal="center"/>
    </xf>
    <xf numFmtId="0" fontId="50" fillId="0" borderId="5" xfId="0" applyFont="1" applyBorder="1" applyAlignment="1">
      <alignment horizontal="center"/>
    </xf>
    <xf numFmtId="0" fontId="50" fillId="0" borderId="8" xfId="0" applyFont="1" applyBorder="1" applyAlignment="1">
      <alignment horizontal="center" vertical="center"/>
    </xf>
    <xf numFmtId="0" fontId="50" fillId="0" borderId="27" xfId="0" applyFont="1" applyBorder="1" applyAlignment="1">
      <alignment horizontal="center" vertical="center"/>
    </xf>
    <xf numFmtId="0" fontId="50" fillId="0" borderId="11" xfId="0" applyFont="1" applyBorder="1" applyAlignment="1">
      <alignment horizontal="center" vertical="center"/>
    </xf>
    <xf numFmtId="0" fontId="50" fillId="4" borderId="6" xfId="0" applyFont="1" applyFill="1" applyBorder="1" applyAlignment="1">
      <alignment horizontal="center" vertical="center" wrapText="1"/>
    </xf>
    <xf numFmtId="0" fontId="50" fillId="4" borderId="14" xfId="0" applyFont="1" applyFill="1" applyBorder="1" applyAlignment="1">
      <alignment horizontal="center" vertical="center" wrapText="1"/>
    </xf>
    <xf numFmtId="0" fontId="50" fillId="4" borderId="5" xfId="0" applyFont="1" applyFill="1" applyBorder="1" applyAlignment="1">
      <alignment horizontal="center" vertical="center" wrapText="1"/>
    </xf>
    <xf numFmtId="0" fontId="50" fillId="4" borderId="9" xfId="0" applyFont="1" applyFill="1" applyBorder="1" applyAlignment="1">
      <alignment horizontal="center" vertical="center"/>
    </xf>
    <xf numFmtId="0" fontId="50" fillId="4" borderId="1" xfId="0" applyFont="1" applyFill="1" applyBorder="1" applyAlignment="1">
      <alignment horizontal="center" vertical="center"/>
    </xf>
    <xf numFmtId="0" fontId="50" fillId="0" borderId="6" xfId="0" applyFont="1" applyBorder="1" applyAlignment="1">
      <alignment horizontal="center" vertical="center" wrapText="1"/>
    </xf>
    <xf numFmtId="0" fontId="50" fillId="0" borderId="14" xfId="0" applyFont="1" applyBorder="1" applyAlignment="1">
      <alignment horizontal="center" vertical="center" wrapText="1"/>
    </xf>
    <xf numFmtId="0" fontId="50" fillId="0" borderId="5" xfId="0" applyFont="1" applyBorder="1" applyAlignment="1">
      <alignment horizontal="center" vertical="center" wrapText="1"/>
    </xf>
    <xf numFmtId="0" fontId="50" fillId="0" borderId="9" xfId="0" applyFont="1" applyBorder="1" applyAlignment="1">
      <alignment horizontal="center" vertical="center"/>
    </xf>
    <xf numFmtId="0" fontId="50" fillId="0" borderId="0" xfId="0" applyFont="1" applyAlignment="1">
      <alignment horizontal="center" vertical="center"/>
    </xf>
    <xf numFmtId="0" fontId="50" fillId="0" borderId="1" xfId="0" applyFont="1" applyBorder="1" applyAlignment="1">
      <alignment horizontal="center" vertical="center"/>
    </xf>
    <xf numFmtId="0" fontId="3" fillId="0" borderId="0" xfId="0" applyFont="1" applyAlignment="1">
      <alignment horizontal="left" vertical="top" wrapText="1"/>
    </xf>
    <xf numFmtId="0" fontId="3" fillId="0" borderId="26" xfId="0" applyFont="1" applyBorder="1" applyAlignment="1">
      <alignment horizontal="left" vertical="top" wrapText="1"/>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4" borderId="6"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9" xfId="0" applyFont="1" applyFill="1" applyBorder="1" applyAlignment="1">
      <alignment horizontal="center" vertical="center"/>
    </xf>
    <xf numFmtId="0" fontId="3" fillId="4" borderId="0" xfId="0" applyFont="1" applyFill="1" applyAlignment="1">
      <alignment horizontal="center" vertical="center"/>
    </xf>
    <xf numFmtId="0" fontId="3" fillId="0" borderId="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9"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0" fontId="3" fillId="4" borderId="6" xfId="0" applyFont="1" applyFill="1" applyBorder="1" applyAlignment="1">
      <alignment horizontal="center" vertical="center"/>
    </xf>
    <xf numFmtId="0" fontId="3" fillId="4" borderId="14" xfId="0" applyFont="1" applyFill="1" applyBorder="1" applyAlignment="1">
      <alignment horizontal="center" vertical="center"/>
    </xf>
    <xf numFmtId="171" fontId="53" fillId="27" borderId="0" xfId="46" applyFont="1" applyFill="1" applyAlignment="1">
      <alignment horizontal="center"/>
    </xf>
    <xf numFmtId="0" fontId="10" fillId="17" borderId="8" xfId="0" applyFont="1" applyFill="1" applyBorder="1" applyAlignment="1">
      <alignment horizontal="center" vertical="center" wrapText="1"/>
    </xf>
    <xf numFmtId="0" fontId="10" fillId="17" borderId="9" xfId="0" applyFont="1" applyFill="1" applyBorder="1" applyAlignment="1">
      <alignment horizontal="center" vertical="center" wrapText="1"/>
    </xf>
    <xf numFmtId="0" fontId="10" fillId="17" borderId="10" xfId="0" applyFont="1" applyFill="1" applyBorder="1" applyAlignment="1">
      <alignment horizontal="center" vertical="center" wrapText="1"/>
    </xf>
    <xf numFmtId="0" fontId="9" fillId="0" borderId="0" xfId="0" applyFont="1" applyAlignment="1">
      <alignment horizontal="left" vertical="top" wrapText="1"/>
    </xf>
    <xf numFmtId="0" fontId="43" fillId="0" borderId="8" xfId="0" applyFont="1" applyBorder="1" applyAlignment="1">
      <alignment horizontal="center" vertical="center" wrapText="1"/>
    </xf>
    <xf numFmtId="0" fontId="43" fillId="0" borderId="27" xfId="0" applyFont="1" applyBorder="1" applyAlignment="1">
      <alignment horizontal="center" vertical="center" wrapText="1"/>
    </xf>
    <xf numFmtId="0" fontId="43" fillId="0" borderId="11" xfId="0" applyFont="1" applyBorder="1" applyAlignment="1">
      <alignment horizontal="center" vertical="center" wrapText="1"/>
    </xf>
    <xf numFmtId="0" fontId="10" fillId="4" borderId="1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4" borderId="2" xfId="0" applyFont="1" applyFill="1" applyBorder="1" applyAlignment="1">
      <alignment horizontal="center" vertical="center"/>
    </xf>
    <xf numFmtId="2" fontId="10" fillId="17" borderId="9" xfId="4" applyNumberFormat="1" applyFont="1" applyFill="1" applyBorder="1" applyAlignment="1">
      <alignment horizontal="center" vertical="center"/>
    </xf>
    <xf numFmtId="0" fontId="10" fillId="3" borderId="4" xfId="0" applyFont="1" applyFill="1" applyBorder="1" applyAlignment="1">
      <alignment horizontal="center" vertical="center"/>
    </xf>
    <xf numFmtId="0" fontId="10" fillId="3" borderId="15" xfId="0" applyFont="1" applyFill="1" applyBorder="1" applyAlignment="1">
      <alignment horizontal="center" vertical="center"/>
    </xf>
    <xf numFmtId="0" fontId="10" fillId="17" borderId="0" xfId="0" applyFont="1" applyFill="1" applyAlignment="1">
      <alignment horizontal="center" vertical="center"/>
    </xf>
    <xf numFmtId="0" fontId="10" fillId="17" borderId="1" xfId="0" applyFont="1" applyFill="1" applyBorder="1" applyAlignment="1">
      <alignment horizontal="center" vertical="center"/>
    </xf>
    <xf numFmtId="2" fontId="8" fillId="0" borderId="0" xfId="0" applyNumberFormat="1" applyFont="1" applyAlignment="1">
      <alignment horizontal="center" vertical="center" wrapText="1"/>
    </xf>
    <xf numFmtId="0" fontId="10" fillId="0" borderId="4" xfId="4" applyFont="1" applyFill="1" applyBorder="1" applyAlignment="1">
      <alignment horizontal="center" vertical="center"/>
    </xf>
    <xf numFmtId="0" fontId="10" fillId="0" borderId="15" xfId="4" applyFont="1" applyFill="1" applyBorder="1" applyAlignment="1">
      <alignment horizontal="center" vertical="center"/>
    </xf>
    <xf numFmtId="0" fontId="10" fillId="17" borderId="8" xfId="4" applyFont="1" applyFill="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10" fillId="17" borderId="27" xfId="4" applyFont="1" applyFill="1" applyBorder="1" applyAlignment="1">
      <alignment horizontal="center" vertical="center"/>
    </xf>
    <xf numFmtId="0" fontId="10" fillId="17" borderId="11" xfId="4" applyFont="1" applyFill="1" applyBorder="1" applyAlignment="1">
      <alignment horizontal="center" vertical="center"/>
    </xf>
    <xf numFmtId="0" fontId="10" fillId="3" borderId="11" xfId="0" applyFont="1" applyFill="1" applyBorder="1" applyAlignment="1">
      <alignment horizontal="center"/>
    </xf>
    <xf numFmtId="0" fontId="10" fillId="3" borderId="1" xfId="0" applyFont="1" applyFill="1" applyBorder="1" applyAlignment="1">
      <alignment horizontal="center"/>
    </xf>
    <xf numFmtId="0" fontId="10" fillId="3" borderId="12" xfId="0" applyFont="1" applyFill="1" applyBorder="1" applyAlignment="1">
      <alignment horizontal="center"/>
    </xf>
    <xf numFmtId="2" fontId="10" fillId="17" borderId="8" xfId="4" applyNumberFormat="1" applyFont="1" applyFill="1" applyBorder="1" applyAlignment="1">
      <alignment horizontal="center" vertical="center"/>
    </xf>
    <xf numFmtId="2" fontId="10" fillId="17" borderId="10" xfId="4" applyNumberFormat="1" applyFont="1" applyFill="1" applyBorder="1" applyAlignment="1">
      <alignment horizontal="center" vertical="center"/>
    </xf>
    <xf numFmtId="0" fontId="2" fillId="4" borderId="0" xfId="0" applyFont="1" applyFill="1" applyAlignment="1">
      <alignment horizontal="center" wrapText="1"/>
    </xf>
    <xf numFmtId="1" fontId="10" fillId="0" borderId="0" xfId="0" applyNumberFormat="1" applyFont="1"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xf>
    <xf numFmtId="0" fontId="62" fillId="0" borderId="0" xfId="0" applyFont="1" applyAlignment="1">
      <alignment horizontal="center"/>
    </xf>
    <xf numFmtId="0" fontId="10" fillId="0" borderId="0" xfId="0" applyFont="1" applyAlignment="1">
      <alignment horizontal="left" wrapText="1"/>
    </xf>
    <xf numFmtId="0" fontId="4" fillId="0" borderId="0" xfId="0" applyFont="1" applyAlignment="1">
      <alignment horizontal="left" wrapText="1"/>
    </xf>
    <xf numFmtId="0" fontId="4" fillId="0" borderId="0" xfId="0" applyFont="1" applyAlignment="1">
      <alignment horizontal="left"/>
    </xf>
    <xf numFmtId="0" fontId="7" fillId="4" borderId="8" xfId="42" applyFont="1" applyFill="1" applyBorder="1" applyAlignment="1">
      <alignment horizontal="center"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49" fillId="0" borderId="27" xfId="42" applyFont="1" applyBorder="1" applyAlignment="1">
      <alignment horizontal="right" vertical="center"/>
    </xf>
    <xf numFmtId="0" fontId="49" fillId="0" borderId="0" xfId="42" applyFont="1" applyAlignment="1">
      <alignment horizontal="right" vertical="center"/>
    </xf>
    <xf numFmtId="0" fontId="49" fillId="0" borderId="26" xfId="42" applyFont="1" applyBorder="1" applyAlignment="1">
      <alignment horizontal="right" vertical="center"/>
    </xf>
    <xf numFmtId="0" fontId="7" fillId="26" borderId="11" xfId="0" applyFont="1" applyFill="1" applyBorder="1" applyAlignment="1">
      <alignment horizontal="center" vertical="center"/>
    </xf>
    <xf numFmtId="0" fontId="7" fillId="26" borderId="1"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0" xfId="0" applyFont="1" applyFill="1" applyAlignment="1">
      <alignment horizontal="center" vertical="center"/>
    </xf>
    <xf numFmtId="0" fontId="9" fillId="4" borderId="8" xfId="0" applyFont="1" applyFill="1" applyBorder="1" applyAlignment="1">
      <alignment horizontal="center" vertical="center" wrapText="1"/>
    </xf>
    <xf numFmtId="0" fontId="9" fillId="4" borderId="27" xfId="0" applyFont="1" applyFill="1" applyBorder="1" applyAlignment="1">
      <alignment horizontal="center" vertical="center" wrapText="1"/>
    </xf>
    <xf numFmtId="0" fontId="7" fillId="4" borderId="8" xfId="44" applyFont="1" applyFill="1" applyBorder="1" applyAlignment="1">
      <alignment horizontal="center" vertical="center"/>
    </xf>
    <xf numFmtId="0" fontId="7" fillId="4" borderId="10" xfId="44" applyFont="1" applyFill="1" applyBorder="1" applyAlignment="1">
      <alignment horizontal="center" vertical="center"/>
    </xf>
    <xf numFmtId="0" fontId="7" fillId="0" borderId="27" xfId="44" applyFont="1" applyBorder="1" applyAlignment="1">
      <alignment horizontal="right" vertical="center"/>
    </xf>
    <xf numFmtId="0" fontId="7" fillId="0" borderId="26" xfId="44" applyFont="1" applyBorder="1" applyAlignment="1">
      <alignment horizontal="right" vertical="center"/>
    </xf>
    <xf numFmtId="0" fontId="7" fillId="0" borderId="0" xfId="44" applyFont="1" applyAlignment="1">
      <alignment horizontal="right" vertical="center"/>
    </xf>
    <xf numFmtId="0" fontId="7" fillId="26" borderId="6"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4" fillId="0" borderId="27" xfId="42" applyBorder="1" applyAlignment="1">
      <alignment horizontal="center" vertical="center"/>
    </xf>
    <xf numFmtId="0" fontId="4" fillId="0" borderId="0" xfId="42" applyAlignment="1">
      <alignment horizontal="center" vertical="center"/>
    </xf>
    <xf numFmtId="0" fontId="4" fillId="0" borderId="26" xfId="42" applyBorder="1" applyAlignment="1">
      <alignment horizontal="center" vertical="center"/>
    </xf>
    <xf numFmtId="0" fontId="7" fillId="0" borderId="27" xfId="42" applyFont="1" applyBorder="1" applyAlignment="1">
      <alignment horizontal="right" vertical="center"/>
    </xf>
    <xf numFmtId="0" fontId="7" fillId="0" borderId="0" xfId="42" applyFont="1" applyAlignment="1">
      <alignment horizontal="right" vertical="center"/>
    </xf>
    <xf numFmtId="0" fontId="7" fillId="0" borderId="26" xfId="42" applyFont="1" applyBorder="1" applyAlignment="1">
      <alignment horizontal="right" vertical="center"/>
    </xf>
    <xf numFmtId="0" fontId="7" fillId="4" borderId="27" xfId="42" applyFont="1" applyFill="1" applyBorder="1" applyAlignment="1">
      <alignment horizontal="center" vertical="center"/>
    </xf>
    <xf numFmtId="0" fontId="7" fillId="4" borderId="0" xfId="42" applyFont="1" applyFill="1" applyAlignment="1">
      <alignment horizontal="center" vertical="center"/>
    </xf>
    <xf numFmtId="0" fontId="7" fillId="4" borderId="26" xfId="42" applyFont="1" applyFill="1" applyBorder="1" applyAlignment="1">
      <alignment horizontal="center" vertical="center"/>
    </xf>
    <xf numFmtId="3" fontId="4" fillId="0" borderId="27" xfId="42" applyNumberFormat="1" applyBorder="1" applyAlignment="1">
      <alignment horizontal="left" vertical="center" wrapText="1"/>
    </xf>
    <xf numFmtId="0" fontId="3" fillId="17" borderId="2" xfId="0" applyFont="1" applyFill="1" applyBorder="1" applyAlignment="1">
      <alignment horizont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3" fillId="0" borderId="0" xfId="0" applyFont="1" applyAlignment="1">
      <alignment horizontal="left" vertical="top" wrapText="1"/>
    </xf>
  </cellXfs>
  <cellStyles count="57">
    <cellStyle name="Accent1" xfId="4" builtinId="29"/>
    <cellStyle name="Bad 2" xfId="9" xr:uid="{48DE6014-26F9-4BA3-A0A0-4917FB7E34D7}"/>
    <cellStyle name="Calculation 2" xfId="10" xr:uid="{8F3D0360-925C-4710-974B-707B0F58BE93}"/>
    <cellStyle name="Check Cell 2" xfId="11" xr:uid="{510EA78C-DDC9-4FA2-B47F-64722EFF647E}"/>
    <cellStyle name="Comma" xfId="1" builtinId="3"/>
    <cellStyle name="Comma 2" xfId="6" xr:uid="{0229D74B-331A-4F69-A5FE-0452AE7ACC39}"/>
    <cellStyle name="Comma 2 2" xfId="12" xr:uid="{8DECBF38-C898-4921-B027-343F20BBE4D7}"/>
    <cellStyle name="Comma 2 2 2" xfId="53" xr:uid="{00000000-0005-0000-0000-000006000000}"/>
    <cellStyle name="Comma 2 3" xfId="43" xr:uid="{BB3DAF20-FC18-41A6-8EBC-A0DAA3A8D4D8}"/>
    <cellStyle name="Comma 2 3 2" xfId="54" xr:uid="{00000000-0005-0000-0000-000007000000}"/>
    <cellStyle name="Explanatory Text 2" xfId="13" xr:uid="{B3C7CC67-98EE-4D2F-BADA-D616E12DA79A}"/>
    <cellStyle name="Good 2" xfId="14" xr:uid="{27B05DF4-F490-493B-96F2-930CF757E6DF}"/>
    <cellStyle name="Heading 1 2" xfId="15" xr:uid="{DD3A45F9-F362-463E-981C-A242D6C9F4BA}"/>
    <cellStyle name="Heading 2 2" xfId="16" xr:uid="{BCC5B706-8E20-4F2A-BEFB-CD7E2CC6207C}"/>
    <cellStyle name="Heading 3 2" xfId="17" xr:uid="{6BC53DA9-B9A3-44AF-BDE2-D939AE531E2D}"/>
    <cellStyle name="Heading 4 2" xfId="18" xr:uid="{A91BDE40-E3B8-460F-BBED-9D748CC83409}"/>
    <cellStyle name="Hyperlink" xfId="5" builtinId="8"/>
    <cellStyle name="Hyperlink 2" xfId="19" xr:uid="{2D804C5C-D60A-4B4F-9BF9-40558A154281}"/>
    <cellStyle name="Input 2" xfId="20" xr:uid="{F59897F6-6982-4635-B93B-FC6EFF6963F0}"/>
    <cellStyle name="Linked Cell 2" xfId="21" xr:uid="{C65A5F45-AAA4-44DC-9628-715D0BE49C5F}"/>
    <cellStyle name="Neutral 2" xfId="22" xr:uid="{CE9F1EF0-FDBD-434D-BF77-4D5403F4DB94}"/>
    <cellStyle name="Normal" xfId="0" builtinId="0"/>
    <cellStyle name="Normal 10" xfId="2" xr:uid="{00000000-0005-0000-0000-000002000000}"/>
    <cellStyle name="Normal 2" xfId="7" xr:uid="{6A967F83-02FA-4E11-934B-003E0BE46696}"/>
    <cellStyle name="Normal 2 2" xfId="42" xr:uid="{D04E8E66-BA66-4123-AF6F-4C593C947D77}"/>
    <cellStyle name="Normal 2 3" xfId="45" xr:uid="{8AEEB901-DEFB-45C6-86B9-6BC73A34549B}"/>
    <cellStyle name="Normal 2 4" xfId="48" xr:uid="{C6EA5D4D-AB15-486C-BB42-D9B0BC1F9180}"/>
    <cellStyle name="Normal 2 5" xfId="50" xr:uid="{5B6E3469-A93A-422E-A4DE-11B97B20F040}"/>
    <cellStyle name="Normal 3" xfId="23" xr:uid="{1AD652F5-741A-4BEF-B735-DAE51F13EF39}"/>
    <cellStyle name="Normal 3 2" xfId="46" xr:uid="{66B6AF13-4B7B-4DC0-B574-AE46C7BF8A2D}"/>
    <cellStyle name="Normal 3 3" xfId="49" xr:uid="{E4F3D19D-E873-4119-BF1E-CA2AD52FFFBD}"/>
    <cellStyle name="Normal 4" xfId="8" xr:uid="{5AE70C0A-5FC6-46A6-ADE9-ACC88AA36743}"/>
    <cellStyle name="Normal 5" xfId="55" xr:uid="{00000000-0005-0000-0000-00001E000000}"/>
    <cellStyle name="Normal 5 2" xfId="44" xr:uid="{BED2590C-F188-4172-8441-91D36500BC98}"/>
    <cellStyle name="Normal 6 2" xfId="51" xr:uid="{EAF9DFAE-72FE-498E-A5BA-A0EC35C92E26}"/>
    <cellStyle name="Note 2" xfId="24" xr:uid="{36D3206A-1E89-4A42-A28C-F49E1312FF63}"/>
    <cellStyle name="Output 2" xfId="25" xr:uid="{64B61667-5B67-451B-AA5A-F79CB8516894}"/>
    <cellStyle name="Percent" xfId="3" builtinId="5"/>
    <cellStyle name="Percent 2" xfId="27" xr:uid="{E92EB642-49A1-4A5D-866D-2F2BEAA99244}"/>
    <cellStyle name="Percent 2 2" xfId="47" xr:uid="{174184A0-89E0-4E2A-B1C3-3FF8F0BB3CA1}"/>
    <cellStyle name="Percent 3" xfId="26" xr:uid="{89F59B0F-399C-4825-8323-1A0B366B1827}"/>
    <cellStyle name="Percent 4" xfId="52" xr:uid="{44E58AFD-1F69-453D-B359-91E20549F222}"/>
    <cellStyle name="Percent 4 2" xfId="56" xr:uid="{00000000-0005-0000-0000-000028000000}"/>
    <cellStyle name="Smart Bold" xfId="28" xr:uid="{35949368-D2D9-4FD0-935D-72DC3815F6F0}"/>
    <cellStyle name="Smart Forecast" xfId="29" xr:uid="{DA1847E8-C87D-4E5E-BA5B-C103A281A188}"/>
    <cellStyle name="Smart General" xfId="30" xr:uid="{C0B8B36A-358E-4C70-8253-A2BB81521B6A}"/>
    <cellStyle name="Smart Highlight" xfId="31" xr:uid="{39804A6A-9501-44A9-8A2B-61FBC1EF7C9C}"/>
    <cellStyle name="Smart Percent" xfId="32" xr:uid="{2296B838-4D0B-4715-BE6E-0FFB4CFD77A6}"/>
    <cellStyle name="Smart Source" xfId="33" xr:uid="{4C539167-4F04-4120-99B9-BEE5390475D6}"/>
    <cellStyle name="Smart Subtitle 1" xfId="34" xr:uid="{5E6502DB-2715-489B-A345-1417A83B62B8}"/>
    <cellStyle name="Smart Subtitle 2" xfId="35" xr:uid="{52973591-BAAD-4677-94F6-41D001FD3E44}"/>
    <cellStyle name="Smart Subtitle 3" xfId="36" xr:uid="{1FCE42C9-A970-4BB7-9F47-DFD74F86985B}"/>
    <cellStyle name="Smart Subtotal" xfId="37" xr:uid="{7D6FC9B3-2F29-4CFE-8F4F-06A12BEC12E4}"/>
    <cellStyle name="Smart Title" xfId="38" xr:uid="{015B8C42-624F-48BB-AF42-8E33342CFB59}"/>
    <cellStyle name="Smart Total" xfId="39" xr:uid="{B57A5A91-9942-4AEA-BC7B-998D724CBF66}"/>
    <cellStyle name="Title 2" xfId="40" xr:uid="{E601D9A6-590D-452D-B94E-92F6B5F85844}"/>
    <cellStyle name="Total 2" xfId="41" xr:uid="{93F2EFB4-C20E-4EB2-86DA-2B6349B46C47}"/>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left/>
        <right/>
        <top/>
        <bottom/>
        <vertical/>
        <horizontal/>
      </border>
    </dxf>
  </dxfs>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externalLink" Target="externalLinks/externalLink6.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8" Type="http://schemas.openxmlformats.org/officeDocument/2006/relationships/externalLink" Target="externalLinks/externalLink9.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7.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0.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5.xml"/><Relationship Id="rId62"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 Id="rId60" Type="http://schemas.openxmlformats.org/officeDocument/2006/relationships/externalLink" Target="externalLinks/externalLink11.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7626858026757218"/>
          <c:y val="2.9864409421087933E-2"/>
          <c:w val="0.52125022447330394"/>
          <c:h val="0.97013559057891197"/>
        </c:manualLayout>
      </c:layout>
      <c:barChart>
        <c:barDir val="bar"/>
        <c:grouping val="clustered"/>
        <c:varyColors val="0"/>
        <c:ser>
          <c:idx val="0"/>
          <c:order val="0"/>
          <c:tx>
            <c:strRef>
              <c:f>Sheet3!$D$3</c:f>
              <c:strCache>
                <c:ptCount val="1"/>
                <c:pt idx="0">
                  <c:v>Operating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Sheet3!$E$3</c:f>
              <c:numCache>
                <c:formatCode>_(* #,##0_);_(* \(#,##0\);_(* "-"??_);_(@_)</c:formatCode>
                <c:ptCount val="1"/>
                <c:pt idx="0">
                  <c:v>5166.1587522812979</c:v>
                </c:pt>
              </c:numCache>
            </c:numRef>
          </c:val>
          <c:extLst>
            <c:ext xmlns:c16="http://schemas.microsoft.com/office/drawing/2014/chart" uri="{C3380CC4-5D6E-409C-BE32-E72D297353CC}">
              <c16:uniqueId val="{00000000-9D6D-431F-AB67-D881C16092BD}"/>
            </c:ext>
          </c:extLst>
        </c:ser>
        <c:ser>
          <c:idx val="1"/>
          <c:order val="1"/>
          <c:tx>
            <c:strRef>
              <c:f>Sheet3!$D$4</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Sheet3!$E$4</c:f>
              <c:numCache>
                <c:formatCode>_(* #,##0_);_(* \(#,##0\);_(* "-"??_);_(@_)</c:formatCode>
                <c:ptCount val="1"/>
                <c:pt idx="0">
                  <c:v>3052.8387271449997</c:v>
                </c:pt>
              </c:numCache>
            </c:numRef>
          </c:val>
          <c:extLst>
            <c:ext xmlns:c16="http://schemas.microsoft.com/office/drawing/2014/chart" uri="{C3380CC4-5D6E-409C-BE32-E72D297353CC}">
              <c16:uniqueId val="{00000001-9D6D-431F-AB67-D881C16092BD}"/>
            </c:ext>
          </c:extLst>
        </c:ser>
        <c:ser>
          <c:idx val="2"/>
          <c:order val="2"/>
          <c:tx>
            <c:strRef>
              <c:f>Sheet3!$D$5</c:f>
              <c:strCache>
                <c:ptCount val="1"/>
                <c:pt idx="0">
                  <c:v>Gross Margin (EBITDA/PBITDA)</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Sheet3!$E$5</c:f>
              <c:numCache>
                <c:formatCode>_(* #,##0_);_(* \(#,##0\);_(* "-"??_);_(@_)</c:formatCode>
                <c:ptCount val="1"/>
                <c:pt idx="0">
                  <c:v>2113.3200251362982</c:v>
                </c:pt>
              </c:numCache>
            </c:numRef>
          </c:val>
          <c:extLst>
            <c:ext xmlns:c16="http://schemas.microsoft.com/office/drawing/2014/chart" uri="{C3380CC4-5D6E-409C-BE32-E72D297353CC}">
              <c16:uniqueId val="{00000002-9D6D-431F-AB67-D881C16092BD}"/>
            </c:ext>
          </c:extLst>
        </c:ser>
        <c:ser>
          <c:idx val="3"/>
          <c:order val="3"/>
          <c:tx>
            <c:strRef>
              <c:f>Sheet3!$D$6</c:f>
              <c:strCache>
                <c:ptCount val="1"/>
                <c:pt idx="0">
                  <c:v>Net Cash Flow</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Sheet3!$E$6</c:f>
              <c:numCache>
                <c:formatCode>_(* #,##0_);_(* \(#,##0\);_(* "-"??_);_(@_)</c:formatCode>
                <c:ptCount val="1"/>
                <c:pt idx="0">
                  <c:v>2113.3200251362982</c:v>
                </c:pt>
              </c:numCache>
            </c:numRef>
          </c:val>
          <c:extLst>
            <c:ext xmlns:c16="http://schemas.microsoft.com/office/drawing/2014/chart" uri="{C3380CC4-5D6E-409C-BE32-E72D297353CC}">
              <c16:uniqueId val="{00000003-9D6D-431F-AB67-D881C16092BD}"/>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735685235370462"/>
          <c:h val="0.789088729393082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3195175920248163"/>
          <c:y val="6.4798908870015715E-2"/>
          <c:w val="0.56556721944148669"/>
          <c:h val="0.93520109112998429"/>
        </c:manualLayout>
      </c:layout>
      <c:barChart>
        <c:barDir val="bar"/>
        <c:grouping val="clustered"/>
        <c:varyColors val="0"/>
        <c:ser>
          <c:idx val="0"/>
          <c:order val="0"/>
          <c:tx>
            <c:strRef>
              <c:f>Sheet3!$A$11</c:f>
              <c:strCache>
                <c:ptCount val="1"/>
                <c:pt idx="0">
                  <c:v>MANUFACTURING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Sheet3!$B$11</c:f>
              <c:numCache>
                <c:formatCode>_(* #,##0_);_(* \(#,##0\);_(* "-"??_);_(@_)</c:formatCode>
                <c:ptCount val="1"/>
                <c:pt idx="0">
                  <c:v>3144.9225283125538</c:v>
                </c:pt>
              </c:numCache>
            </c:numRef>
          </c:val>
          <c:extLst>
            <c:ext xmlns:c16="http://schemas.microsoft.com/office/drawing/2014/chart" uri="{C3380CC4-5D6E-409C-BE32-E72D297353CC}">
              <c16:uniqueId val="{00000000-D954-4588-86EF-4562F2A44991}"/>
            </c:ext>
          </c:extLst>
        </c:ser>
        <c:ser>
          <c:idx val="1"/>
          <c:order val="1"/>
          <c:tx>
            <c:strRef>
              <c:f>Sheet3!$A$12</c:f>
              <c:strCache>
                <c:ptCount val="1"/>
                <c:pt idx="0">
                  <c:v>Raw materials </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Sheet3!$B$12</c:f>
              <c:numCache>
                <c:formatCode>_(* #,##0_);_(* \(#,##0\);_(* "-"??_);_(@_)</c:formatCode>
                <c:ptCount val="1"/>
                <c:pt idx="0">
                  <c:v>2438.7908600858559</c:v>
                </c:pt>
              </c:numCache>
            </c:numRef>
          </c:val>
          <c:extLst>
            <c:ext xmlns:c16="http://schemas.microsoft.com/office/drawing/2014/chart" uri="{C3380CC4-5D6E-409C-BE32-E72D297353CC}">
              <c16:uniqueId val="{00000001-D954-4588-86EF-4562F2A44991}"/>
            </c:ext>
          </c:extLst>
        </c:ser>
        <c:ser>
          <c:idx val="2"/>
          <c:order val="2"/>
          <c:tx>
            <c:strRef>
              <c:f>Sheet3!$A$13</c:f>
              <c:strCache>
                <c:ptCount val="1"/>
                <c:pt idx="0">
                  <c:v>Catalyst &amp; Chemicals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Sheet3!$B$13</c:f>
              <c:numCache>
                <c:formatCode>_(* #,##0_);_(* \(#,##0\);_(* "-"??_);_(@_)</c:formatCode>
                <c:ptCount val="1"/>
                <c:pt idx="0">
                  <c:v>149.50201821018209</c:v>
                </c:pt>
              </c:numCache>
            </c:numRef>
          </c:val>
          <c:extLst>
            <c:ext xmlns:c16="http://schemas.microsoft.com/office/drawing/2014/chart" uri="{C3380CC4-5D6E-409C-BE32-E72D297353CC}">
              <c16:uniqueId val="{00000002-D954-4588-86EF-4562F2A44991}"/>
            </c:ext>
          </c:extLst>
        </c:ser>
        <c:ser>
          <c:idx val="3"/>
          <c:order val="3"/>
          <c:tx>
            <c:strRef>
              <c:f>Sheet3!$A$14</c:f>
              <c:strCache>
                <c:ptCount val="1"/>
                <c:pt idx="0">
                  <c:v>Labour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Sheet3!$B$14</c:f>
              <c:numCache>
                <c:formatCode>_(* #,##0_);_(* \(#,##0\);_(* "-"??_);_(@_)</c:formatCode>
                <c:ptCount val="1"/>
                <c:pt idx="0">
                  <c:v>58.772785499999991</c:v>
                </c:pt>
              </c:numCache>
            </c:numRef>
          </c:val>
          <c:extLst>
            <c:ext xmlns:c16="http://schemas.microsoft.com/office/drawing/2014/chart" uri="{C3380CC4-5D6E-409C-BE32-E72D297353CC}">
              <c16:uniqueId val="{00000003-D954-4588-86EF-4562F2A44991}"/>
            </c:ext>
          </c:extLst>
        </c:ser>
        <c:ser>
          <c:idx val="4"/>
          <c:order val="4"/>
          <c:tx>
            <c:strRef>
              <c:f>Sheet3!$A$15</c:f>
              <c:strCache>
                <c:ptCount val="1"/>
                <c:pt idx="0">
                  <c:v>Variable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Sheet3!$B$15</c:f>
              <c:numCache>
                <c:formatCode>_(* #,##0_);_(* \(#,##0\);_(* "-"??_);_(@_)</c:formatCode>
                <c:ptCount val="1"/>
                <c:pt idx="0">
                  <c:v>389.06113085477159</c:v>
                </c:pt>
              </c:numCache>
            </c:numRef>
          </c:val>
          <c:extLst>
            <c:ext xmlns:c16="http://schemas.microsoft.com/office/drawing/2014/chart" uri="{C3380CC4-5D6E-409C-BE32-E72D297353CC}">
              <c16:uniqueId val="{00000004-D954-4588-86EF-4562F2A44991}"/>
            </c:ext>
          </c:extLst>
        </c:ser>
        <c:ser>
          <c:idx val="5"/>
          <c:order val="5"/>
          <c:tx>
            <c:strRef>
              <c:f>Sheet3!$A$16</c:f>
              <c:strCache>
                <c:ptCount val="1"/>
                <c:pt idx="0">
                  <c:v>Fixed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Sheet3!$B$16</c:f>
              <c:numCache>
                <c:formatCode>_(* #,##0_);_(* \(#,##0\);_(* "-"??_);_(@_)</c:formatCode>
                <c:ptCount val="1"/>
                <c:pt idx="0">
                  <c:v>108.79573366174417</c:v>
                </c:pt>
              </c:numCache>
            </c:numRef>
          </c:val>
          <c:extLst>
            <c:ext xmlns:c16="http://schemas.microsoft.com/office/drawing/2014/chart" uri="{C3380CC4-5D6E-409C-BE32-E72D297353CC}">
              <c16:uniqueId val="{00000005-D954-4588-86EF-4562F2A44991}"/>
            </c:ext>
          </c:extLst>
        </c:ser>
        <c:ser>
          <c:idx val="6"/>
          <c:order val="6"/>
          <c:tx>
            <c:strRef>
              <c:f>Sheet3!$A$17</c:f>
              <c:strCache>
                <c:ptCount val="1"/>
                <c:pt idx="0">
                  <c:v>Selling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Sheet3!$B$17</c:f>
              <c:numCache>
                <c:formatCode>_(* #,##0_);_(* \(#,##0\);_(* "-"??_);_(@_)</c:formatCode>
                <c:ptCount val="1"/>
                <c:pt idx="0">
                  <c:v>179.3375803381395</c:v>
                </c:pt>
              </c:numCache>
            </c:numRef>
          </c:val>
          <c:extLst>
            <c:ext xmlns:c16="http://schemas.microsoft.com/office/drawing/2014/chart" uri="{C3380CC4-5D6E-409C-BE32-E72D297353CC}">
              <c16:uniqueId val="{00000006-D954-4588-86EF-4562F2A44991}"/>
            </c:ext>
          </c:extLst>
        </c:ser>
        <c:ser>
          <c:idx val="7"/>
          <c:order val="7"/>
          <c:tx>
            <c:strRef>
              <c:f>Sheet3!$A$18</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Sheet3!$B$18</c:f>
              <c:numCache>
                <c:formatCode>_(* #,##0_);_(* \(#,##0\);_(* "-"??_);_(@_)</c:formatCode>
                <c:ptCount val="1"/>
                <c:pt idx="0">
                  <c:v>3324.2601086506934</c:v>
                </c:pt>
              </c:numCache>
            </c:numRef>
          </c:val>
          <c:extLst>
            <c:ext xmlns:c16="http://schemas.microsoft.com/office/drawing/2014/chart" uri="{C3380CC4-5D6E-409C-BE32-E72D297353CC}">
              <c16:uniqueId val="{00000007-D954-4588-86EF-4562F2A44991}"/>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3464584400996096"/>
          <c:w val="0.43075681501269275"/>
          <c:h val="0.86535415599003906"/>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0"/>
          <c:order val="0"/>
          <c:tx>
            <c:strRef>
              <c:f>Sheet3!$B$2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EE9-4289-907E-8F101E5CAA38}"/>
              </c:ext>
            </c:extLst>
          </c:dPt>
          <c:dPt>
            <c:idx val="1"/>
            <c:bubble3D val="0"/>
            <c:spPr>
              <a:solidFill>
                <a:schemeClr val="accent2"/>
              </a:solidFill>
              <a:ln w="19050">
                <a:noFill/>
              </a:ln>
              <a:effectLst/>
            </c:spPr>
            <c:extLst>
              <c:ext xmlns:c16="http://schemas.microsoft.com/office/drawing/2014/chart" uri="{C3380CC4-5D6E-409C-BE32-E72D297353CC}">
                <c16:uniqueId val="{00000003-3EE9-4289-907E-8F101E5CAA38}"/>
              </c:ext>
            </c:extLst>
          </c:dPt>
          <c:dPt>
            <c:idx val="2"/>
            <c:bubble3D val="0"/>
            <c:spPr>
              <a:solidFill>
                <a:schemeClr val="accent3"/>
              </a:solidFill>
              <a:ln w="19050">
                <a:noFill/>
              </a:ln>
              <a:effectLst/>
            </c:spPr>
            <c:extLst>
              <c:ext xmlns:c16="http://schemas.microsoft.com/office/drawing/2014/chart" uri="{C3380CC4-5D6E-409C-BE32-E72D297353CC}">
                <c16:uniqueId val="{00000005-3EE9-4289-907E-8F101E5CAA38}"/>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Sheet3!$A$3:$A$5</c:f>
              <c:strCache>
                <c:ptCount val="3"/>
                <c:pt idx="0">
                  <c:v>CAPEX PVC OPTION 1</c:v>
                </c:pt>
                <c:pt idx="1">
                  <c:v>CAPEX PHENOL OPTION 1</c:v>
                </c:pt>
                <c:pt idx="2">
                  <c:v>ETHANE FURNACE ADDITION</c:v>
                </c:pt>
              </c:strCache>
            </c:strRef>
          </c:cat>
          <c:val>
            <c:numRef>
              <c:f>Sheet3!$B$3:$B$5</c:f>
              <c:numCache>
                <c:formatCode>_(* #,##0_);_(* \(#,##0\);_(* "-"??_);_(@_)</c:formatCode>
                <c:ptCount val="3"/>
                <c:pt idx="0">
                  <c:v>4159.4497678079997</c:v>
                </c:pt>
                <c:pt idx="1">
                  <c:v>1768.675</c:v>
                </c:pt>
                <c:pt idx="2">
                  <c:v>2664</c:v>
                </c:pt>
              </c:numCache>
            </c:numRef>
          </c:val>
          <c:extLst>
            <c:ext xmlns:c16="http://schemas.microsoft.com/office/drawing/2014/chart" uri="{C3380CC4-5D6E-409C-BE32-E72D297353CC}">
              <c16:uniqueId val="{0000000A-3EE9-4289-907E-8F101E5CAA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972186222195883"/>
          <c:y val="4.7459536307961493E-2"/>
          <c:w val="0.29361532733685974"/>
          <c:h val="0.94328120443277919"/>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Sheet3!$B$20</c:f>
              <c:strCache>
                <c:ptCount val="1"/>
                <c:pt idx="0">
                  <c:v> INR Crore </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F18D-4C53-9258-753C0B905237}"/>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F18D-4C53-9258-753C0B905237}"/>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F18D-4C53-9258-753C0B905237}"/>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F18D-4C53-9258-753C0B905237}"/>
                </c:ext>
              </c:extLst>
            </c:dLbl>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Sheet3!$A$21:$A$22</c:f>
              <c:strCache>
                <c:ptCount val="2"/>
                <c:pt idx="0">
                  <c:v>Total Variable Cost</c:v>
                </c:pt>
                <c:pt idx="1">
                  <c:v>Total Fixed Cost</c:v>
                </c:pt>
              </c:strCache>
            </c:strRef>
          </c:cat>
          <c:val>
            <c:numRef>
              <c:f>Sheet3!$B$21:$B$22</c:f>
              <c:numCache>
                <c:formatCode>_(* #,##0_);_(* \(#,##0\);_(* "-"??_);_(@_)</c:formatCode>
                <c:ptCount val="2"/>
                <c:pt idx="0">
                  <c:v>3156.6915894889489</c:v>
                </c:pt>
                <c:pt idx="1">
                  <c:v>167.56851916174415</c:v>
                </c:pt>
              </c:numCache>
            </c:numRef>
          </c:val>
          <c:extLst>
            <c:ext xmlns:c16="http://schemas.microsoft.com/office/drawing/2014/chart" uri="{C3380CC4-5D6E-409C-BE32-E72D297353CC}">
              <c16:uniqueId val="{00000004-F18D-4C53-9258-753C0B905237}"/>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_(* #,##0_);_(* \(#,##0\);_(* &quot;-&quot;??_);_(@_)"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27657</xdr:colOff>
      <xdr:row>21</xdr:row>
      <xdr:rowOff>123309</xdr:rowOff>
    </xdr:to>
    <xdr:pic>
      <xdr:nvPicPr>
        <xdr:cNvPr id="2" name="Picture 1">
          <a:extLst>
            <a:ext uri="{FF2B5EF4-FFF2-40B4-BE49-F238E27FC236}">
              <a16:creationId xmlns:a16="http://schemas.microsoft.com/office/drawing/2014/main" id="{6C4B1C18-3385-C419-3362-15AC917745B8}"/>
            </a:ext>
          </a:extLst>
        </xdr:cNvPr>
        <xdr:cNvPicPr>
          <a:picLocks noChangeAspect="1"/>
        </xdr:cNvPicPr>
      </xdr:nvPicPr>
      <xdr:blipFill>
        <a:blip xmlns:r="http://schemas.openxmlformats.org/officeDocument/2006/relationships" r:embed="rId1"/>
        <a:stretch>
          <a:fillRect/>
        </a:stretch>
      </xdr:blipFill>
      <xdr:spPr>
        <a:xfrm>
          <a:off x="0" y="0"/>
          <a:ext cx="7342857" cy="41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8</xdr:row>
      <xdr:rowOff>5408</xdr:rowOff>
    </xdr:from>
    <xdr:to>
      <xdr:col>14</xdr:col>
      <xdr:colOff>10583</xdr:colOff>
      <xdr:row>17</xdr:row>
      <xdr:rowOff>10584</xdr:rowOff>
    </xdr:to>
    <xdr:grpSp>
      <xdr:nvGrpSpPr>
        <xdr:cNvPr id="24" name="Group 23">
          <a:extLst>
            <a:ext uri="{FF2B5EF4-FFF2-40B4-BE49-F238E27FC236}">
              <a16:creationId xmlns:a16="http://schemas.microsoft.com/office/drawing/2014/main" id="{8AF91599-427C-C756-D71E-4C490F6991D9}"/>
            </a:ext>
          </a:extLst>
        </xdr:cNvPr>
        <xdr:cNvGrpSpPr/>
      </xdr:nvGrpSpPr>
      <xdr:grpSpPr>
        <a:xfrm>
          <a:off x="6318250" y="1370658"/>
          <a:ext cx="3979333" cy="1698509"/>
          <a:chOff x="3488394" y="1740115"/>
          <a:chExt cx="4825852" cy="1873252"/>
        </a:xfrm>
      </xdr:grpSpPr>
      <xdr:sp macro="" textlink="">
        <xdr:nvSpPr>
          <xdr:cNvPr id="25" name="Rectangle 24">
            <a:extLst>
              <a:ext uri="{FF2B5EF4-FFF2-40B4-BE49-F238E27FC236}">
                <a16:creationId xmlns:a16="http://schemas.microsoft.com/office/drawing/2014/main" id="{B300CE63-0C74-4AB0-9890-C30F03960CDD}"/>
              </a:ext>
            </a:extLst>
          </xdr:cNvPr>
          <xdr:cNvSpPr/>
        </xdr:nvSpPr>
        <xdr:spPr>
          <a:xfrm>
            <a:off x="3488394" y="1740115"/>
            <a:ext cx="4825852"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C0622762-B0C1-4EA9-9EA4-9B17D4C0A16B}"/>
              </a:ext>
            </a:extLst>
          </xdr:cNvPr>
          <xdr:cNvGraphicFramePr>
            <a:graphicFrameLocks/>
          </xdr:cNvGraphicFramePr>
        </xdr:nvGraphicFramePr>
        <xdr:xfrm>
          <a:off x="3488394" y="1785822"/>
          <a:ext cx="4779671" cy="1757512"/>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10584</xdr:colOff>
      <xdr:row>19</xdr:row>
      <xdr:rowOff>12538</xdr:rowOff>
    </xdr:from>
    <xdr:to>
      <xdr:col>22</xdr:col>
      <xdr:colOff>10584</xdr:colOff>
      <xdr:row>36</xdr:row>
      <xdr:rowOff>42333</xdr:rowOff>
    </xdr:to>
    <xdr:grpSp>
      <xdr:nvGrpSpPr>
        <xdr:cNvPr id="31" name="Group 30">
          <a:extLst>
            <a:ext uri="{FF2B5EF4-FFF2-40B4-BE49-F238E27FC236}">
              <a16:creationId xmlns:a16="http://schemas.microsoft.com/office/drawing/2014/main" id="{E279C1A8-4A7B-119E-94C0-79EF459F4CFA}"/>
            </a:ext>
          </a:extLst>
        </xdr:cNvPr>
        <xdr:cNvGrpSpPr/>
      </xdr:nvGrpSpPr>
      <xdr:grpSpPr>
        <a:xfrm>
          <a:off x="10530417" y="3494455"/>
          <a:ext cx="3354917" cy="2961378"/>
          <a:chOff x="9189690" y="3079749"/>
          <a:chExt cx="3709090" cy="2225392"/>
        </a:xfrm>
      </xdr:grpSpPr>
      <xdr:sp macro="" textlink="">
        <xdr:nvSpPr>
          <xdr:cNvPr id="29" name="Rectangle 28">
            <a:extLst>
              <a:ext uri="{FF2B5EF4-FFF2-40B4-BE49-F238E27FC236}">
                <a16:creationId xmlns:a16="http://schemas.microsoft.com/office/drawing/2014/main" id="{E5936171-761D-48B2-A8E1-E56358080019}"/>
              </a:ext>
            </a:extLst>
          </xdr:cNvPr>
          <xdr:cNvSpPr/>
        </xdr:nvSpPr>
        <xdr:spPr>
          <a:xfrm>
            <a:off x="9189690" y="3080532"/>
            <a:ext cx="3709090"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E100EC99-8B65-4E06-9312-DD5094CFB849}"/>
              </a:ext>
            </a:extLst>
          </xdr:cNvPr>
          <xdr:cNvGraphicFramePr>
            <a:graphicFrameLocks/>
          </xdr:cNvGraphicFramePr>
        </xdr:nvGraphicFramePr>
        <xdr:xfrm>
          <a:off x="9252736" y="3079749"/>
          <a:ext cx="3604015" cy="21812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5</xdr:col>
      <xdr:colOff>195904</xdr:colOff>
      <xdr:row>19</xdr:row>
      <xdr:rowOff>2684</xdr:rowOff>
    </xdr:from>
    <xdr:to>
      <xdr:col>14</xdr:col>
      <xdr:colOff>10583</xdr:colOff>
      <xdr:row>31</xdr:row>
      <xdr:rowOff>21166</xdr:rowOff>
    </xdr:to>
    <xdr:grpSp>
      <xdr:nvGrpSpPr>
        <xdr:cNvPr id="63" name="Group 62">
          <a:extLst>
            <a:ext uri="{FF2B5EF4-FFF2-40B4-BE49-F238E27FC236}">
              <a16:creationId xmlns:a16="http://schemas.microsoft.com/office/drawing/2014/main" id="{8CC0E04C-1BA5-1010-5BBA-8C139D4D887E}"/>
            </a:ext>
          </a:extLst>
        </xdr:cNvPr>
        <xdr:cNvGrpSpPr/>
      </xdr:nvGrpSpPr>
      <xdr:grpSpPr>
        <a:xfrm>
          <a:off x="6313071" y="3484601"/>
          <a:ext cx="3984512" cy="2050482"/>
          <a:chOff x="21168" y="2554821"/>
          <a:chExt cx="4127378" cy="2673348"/>
        </a:xfrm>
      </xdr:grpSpPr>
      <xdr:sp macro="" textlink="">
        <xdr:nvSpPr>
          <xdr:cNvPr id="60" name="Rectangle 59">
            <a:extLst>
              <a:ext uri="{FF2B5EF4-FFF2-40B4-BE49-F238E27FC236}">
                <a16:creationId xmlns:a16="http://schemas.microsoft.com/office/drawing/2014/main" id="{832F3569-C712-6806-F873-DE4977FDCAAB}"/>
              </a:ext>
            </a:extLst>
          </xdr:cNvPr>
          <xdr:cNvSpPr/>
        </xdr:nvSpPr>
        <xdr:spPr>
          <a:xfrm>
            <a:off x="21168" y="2554821"/>
            <a:ext cx="4127378" cy="2673348"/>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2" name="Chart 61">
            <a:extLst>
              <a:ext uri="{FF2B5EF4-FFF2-40B4-BE49-F238E27FC236}">
                <a16:creationId xmlns:a16="http://schemas.microsoft.com/office/drawing/2014/main" id="{A07314EE-C1F0-4DB6-82ED-31FBF7B11F37}"/>
              </a:ext>
            </a:extLst>
          </xdr:cNvPr>
          <xdr:cNvGraphicFramePr>
            <a:graphicFrameLocks/>
          </xdr:cNvGraphicFramePr>
        </xdr:nvGraphicFramePr>
        <xdr:xfrm>
          <a:off x="59175" y="2582332"/>
          <a:ext cx="4020331" cy="260219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230922</xdr:colOff>
      <xdr:row>8</xdr:row>
      <xdr:rowOff>5362</xdr:rowOff>
    </xdr:from>
    <xdr:to>
      <xdr:col>22</xdr:col>
      <xdr:colOff>10586</xdr:colOff>
      <xdr:row>17</xdr:row>
      <xdr:rowOff>54340</xdr:rowOff>
    </xdr:to>
    <xdr:grpSp>
      <xdr:nvGrpSpPr>
        <xdr:cNvPr id="67" name="Group 66">
          <a:extLst>
            <a:ext uri="{FF2B5EF4-FFF2-40B4-BE49-F238E27FC236}">
              <a16:creationId xmlns:a16="http://schemas.microsoft.com/office/drawing/2014/main" id="{58265EBC-BF00-4BC7-B8C7-502D1C24A34E}"/>
            </a:ext>
          </a:extLst>
        </xdr:cNvPr>
        <xdr:cNvGrpSpPr/>
      </xdr:nvGrpSpPr>
      <xdr:grpSpPr>
        <a:xfrm>
          <a:off x="10517922" y="1370612"/>
          <a:ext cx="3367414" cy="1742311"/>
          <a:chOff x="8280084" y="1334627"/>
          <a:chExt cx="3732001" cy="2044693"/>
        </a:xfrm>
      </xdr:grpSpPr>
      <xdr:sp macro="" textlink="">
        <xdr:nvSpPr>
          <xdr:cNvPr id="68" name="Rectangle 67">
            <a:extLst>
              <a:ext uri="{FF2B5EF4-FFF2-40B4-BE49-F238E27FC236}">
                <a16:creationId xmlns:a16="http://schemas.microsoft.com/office/drawing/2014/main" id="{DEC45E02-B0E2-3B26-28A8-1D97AEDF8A18}"/>
              </a:ext>
            </a:extLst>
          </xdr:cNvPr>
          <xdr:cNvSpPr/>
        </xdr:nvSpPr>
        <xdr:spPr>
          <a:xfrm>
            <a:off x="8280084" y="1334627"/>
            <a:ext cx="3732001"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9" name="Chart 68">
            <a:extLst>
              <a:ext uri="{FF2B5EF4-FFF2-40B4-BE49-F238E27FC236}">
                <a16:creationId xmlns:a16="http://schemas.microsoft.com/office/drawing/2014/main" id="{5748D24C-AA56-ED79-0FB6-9EDCAD18DD08}"/>
              </a:ext>
            </a:extLst>
          </xdr:cNvPr>
          <xdr:cNvGraphicFramePr>
            <a:graphicFrameLocks/>
          </xdr:cNvGraphicFramePr>
        </xdr:nvGraphicFramePr>
        <xdr:xfrm>
          <a:off x="8367837" y="1369547"/>
          <a:ext cx="3517801" cy="193675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10574</xdr:colOff>
      <xdr:row>0</xdr:row>
      <xdr:rowOff>8336</xdr:rowOff>
    </xdr:from>
    <xdr:to>
      <xdr:col>4</xdr:col>
      <xdr:colOff>947065</xdr:colOff>
      <xdr:row>4</xdr:row>
      <xdr:rowOff>127687</xdr:rowOff>
    </xdr:to>
    <xdr:grpSp>
      <xdr:nvGrpSpPr>
        <xdr:cNvPr id="41" name="Group 40">
          <a:extLst>
            <a:ext uri="{FF2B5EF4-FFF2-40B4-BE49-F238E27FC236}">
              <a16:creationId xmlns:a16="http://schemas.microsoft.com/office/drawing/2014/main" id="{D6357AF8-31FC-71AC-A729-66FDBA0471AC}"/>
            </a:ext>
          </a:extLst>
        </xdr:cNvPr>
        <xdr:cNvGrpSpPr/>
      </xdr:nvGrpSpPr>
      <xdr:grpSpPr>
        <a:xfrm>
          <a:off x="10574" y="8336"/>
          <a:ext cx="5540241" cy="860184"/>
          <a:chOff x="2802524" y="4000500"/>
          <a:chExt cx="4679857" cy="571500"/>
        </a:xfrm>
      </xdr:grpSpPr>
      <xdr:sp macro="" textlink="Sheet3!G3">
        <xdr:nvSpPr>
          <xdr:cNvPr id="54" name="Rectangle: Rounded Corners 53">
            <a:extLst>
              <a:ext uri="{FF2B5EF4-FFF2-40B4-BE49-F238E27FC236}">
                <a16:creationId xmlns:a16="http://schemas.microsoft.com/office/drawing/2014/main" id="{0312130D-EF45-F4D6-FD68-A4193E72AC5A}"/>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9ED44F2-1393-434C-8070-471A267FE29C}" type="TxLink">
              <a:rPr lang="en-US" sz="1600" b="1" i="0" u="none" strike="noStrike">
                <a:solidFill>
                  <a:srgbClr val="002060"/>
                </a:solidFill>
                <a:latin typeface="Calibri"/>
                <a:ea typeface="+mn-ea"/>
                <a:cs typeface="Calibri"/>
              </a:rPr>
              <a:pPr marL="0" indent="0" algn="ctr"/>
              <a:t>Capacity for 350 KTPA PVC Resin and 200 KTPA Phenol + 123 KTPA Acetone-Propane Furnace (Ethane Furnace Addition)</a:t>
            </a:fld>
            <a:endParaRPr lang="en-IN" sz="1600" b="1" i="0" u="none" strike="noStrike">
              <a:solidFill>
                <a:srgbClr val="002060"/>
              </a:solidFill>
              <a:latin typeface="Calibri"/>
              <a:ea typeface="+mn-ea"/>
              <a:cs typeface="Calibri"/>
            </a:endParaRPr>
          </a:p>
        </xdr:txBody>
      </xdr:sp>
      <xdr:sp macro="" textlink="$C$3">
        <xdr:nvSpPr>
          <xdr:cNvPr id="55" name="Rectangle: Rounded Corners 54">
            <a:extLst>
              <a:ext uri="{FF2B5EF4-FFF2-40B4-BE49-F238E27FC236}">
                <a16:creationId xmlns:a16="http://schemas.microsoft.com/office/drawing/2014/main" id="{11CA359C-824C-9EB3-162D-55C5861F6DB7}"/>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clientData/>
  </xdr:twoCellAnchor>
  <xdr:twoCellAnchor>
    <xdr:from>
      <xdr:col>4</xdr:col>
      <xdr:colOff>957907</xdr:colOff>
      <xdr:row>0</xdr:row>
      <xdr:rowOff>6570</xdr:rowOff>
    </xdr:from>
    <xdr:to>
      <xdr:col>8</xdr:col>
      <xdr:colOff>165036</xdr:colOff>
      <xdr:row>4</xdr:row>
      <xdr:rowOff>127687</xdr:rowOff>
    </xdr:to>
    <xdr:grpSp>
      <xdr:nvGrpSpPr>
        <xdr:cNvPr id="42" name="Group 41">
          <a:extLst>
            <a:ext uri="{FF2B5EF4-FFF2-40B4-BE49-F238E27FC236}">
              <a16:creationId xmlns:a16="http://schemas.microsoft.com/office/drawing/2014/main" id="{73CF2B38-D8CB-21EB-C53A-A696D48FFCC9}"/>
            </a:ext>
          </a:extLst>
        </xdr:cNvPr>
        <xdr:cNvGrpSpPr/>
      </xdr:nvGrpSpPr>
      <xdr:grpSpPr>
        <a:xfrm>
          <a:off x="5561657" y="6570"/>
          <a:ext cx="2085796" cy="861950"/>
          <a:chOff x="5550554" y="3999327"/>
          <a:chExt cx="1904914" cy="572673"/>
        </a:xfrm>
      </xdr:grpSpPr>
      <xdr:sp macro="" textlink="Sheet3!G6">
        <xdr:nvSpPr>
          <xdr:cNvPr id="52" name="Rectangle: Rounded Corners 51">
            <a:extLst>
              <a:ext uri="{FF2B5EF4-FFF2-40B4-BE49-F238E27FC236}">
                <a16:creationId xmlns:a16="http://schemas.microsoft.com/office/drawing/2014/main" id="{89B2BDF4-019A-234F-8521-862EB9D44BD1}"/>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0582230-90A0-4179-B0A1-8B0FFA3B056C}" type="TxLink">
              <a:rPr lang="en-US" sz="2400" b="1" i="0" u="none" strike="noStrike">
                <a:solidFill>
                  <a:srgbClr val="002060"/>
                </a:solidFill>
                <a:latin typeface="Calibri"/>
                <a:ea typeface="+mn-ea"/>
                <a:cs typeface="Calibri"/>
              </a:rPr>
              <a:pPr marL="0" indent="0" algn="ctr"/>
              <a:t>8,592 INR Cr</a:t>
            </a:fld>
            <a:endParaRPr lang="en-IN" sz="2400" b="1" i="0" u="none" strike="noStrike">
              <a:solidFill>
                <a:srgbClr val="002060"/>
              </a:solidFill>
              <a:latin typeface="Calibri"/>
              <a:ea typeface="+mn-ea"/>
              <a:cs typeface="Calibri"/>
            </a:endParaRPr>
          </a:p>
        </xdr:txBody>
      </xdr:sp>
      <xdr:sp macro="" textlink="$D$3">
        <xdr:nvSpPr>
          <xdr:cNvPr id="53" name="Rectangle: Rounded Corners 52">
            <a:extLst>
              <a:ext uri="{FF2B5EF4-FFF2-40B4-BE49-F238E27FC236}">
                <a16:creationId xmlns:a16="http://schemas.microsoft.com/office/drawing/2014/main" id="{84C782F1-9B70-27CF-9ADB-9B17711B68E9}"/>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clientData/>
  </xdr:twoCellAnchor>
  <xdr:twoCellAnchor>
    <xdr:from>
      <xdr:col>8</xdr:col>
      <xdr:colOff>165032</xdr:colOff>
      <xdr:row>0</xdr:row>
      <xdr:rowOff>8336</xdr:rowOff>
    </xdr:from>
    <xdr:to>
      <xdr:col>22</xdr:col>
      <xdr:colOff>1</xdr:colOff>
      <xdr:row>4</xdr:row>
      <xdr:rowOff>129857</xdr:rowOff>
    </xdr:to>
    <xdr:grpSp>
      <xdr:nvGrpSpPr>
        <xdr:cNvPr id="3" name="Group 2">
          <a:extLst>
            <a:ext uri="{FF2B5EF4-FFF2-40B4-BE49-F238E27FC236}">
              <a16:creationId xmlns:a16="http://schemas.microsoft.com/office/drawing/2014/main" id="{4D09EAAD-B86F-09D5-CBBD-399C4493D093}"/>
            </a:ext>
          </a:extLst>
        </xdr:cNvPr>
        <xdr:cNvGrpSpPr/>
      </xdr:nvGrpSpPr>
      <xdr:grpSpPr>
        <a:xfrm>
          <a:off x="7647449" y="8336"/>
          <a:ext cx="6227302" cy="862354"/>
          <a:chOff x="7816782" y="8336"/>
          <a:chExt cx="6301386" cy="862354"/>
        </a:xfrm>
      </xdr:grpSpPr>
      <xdr:grpSp>
        <xdr:nvGrpSpPr>
          <xdr:cNvPr id="43" name="Group 42">
            <a:extLst>
              <a:ext uri="{FF2B5EF4-FFF2-40B4-BE49-F238E27FC236}">
                <a16:creationId xmlns:a16="http://schemas.microsoft.com/office/drawing/2014/main" id="{4CD27908-2705-E647-30E7-3ED11D37D3C2}"/>
              </a:ext>
            </a:extLst>
          </xdr:cNvPr>
          <xdr:cNvGrpSpPr/>
        </xdr:nvGrpSpPr>
        <xdr:grpSpPr>
          <a:xfrm>
            <a:off x="7816782" y="8337"/>
            <a:ext cx="2340229" cy="860184"/>
            <a:chOff x="5525062" y="4000501"/>
            <a:chExt cx="1976798" cy="571500"/>
          </a:xfrm>
        </xdr:grpSpPr>
        <xdr:sp macro="" textlink="Sheet3!G9">
          <xdr:nvSpPr>
            <xdr:cNvPr id="50" name="Rectangle: Rounded Corners 49">
              <a:extLst>
                <a:ext uri="{FF2B5EF4-FFF2-40B4-BE49-F238E27FC236}">
                  <a16:creationId xmlns:a16="http://schemas.microsoft.com/office/drawing/2014/main" id="{F5CA6584-AFB3-6754-EA28-978B60DCE596}"/>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8A39C0B-CE82-46EE-A242-A7D02F99C3A7}" type="TxLink">
                <a:rPr lang="en-US" sz="2400" b="1" i="0" u="none" strike="noStrike">
                  <a:solidFill>
                    <a:srgbClr val="002060"/>
                  </a:solidFill>
                  <a:latin typeface="Calibri"/>
                  <a:ea typeface="+mn-ea"/>
                  <a:cs typeface="Calibri"/>
                </a:rPr>
                <a:pPr marL="0" indent="0" algn="ctr"/>
                <a:t>19,091 INR Cr</a:t>
              </a:fld>
              <a:endParaRPr lang="en-IN" sz="2400" b="1" i="0" u="none" strike="noStrike">
                <a:solidFill>
                  <a:srgbClr val="002060"/>
                </a:solidFill>
                <a:latin typeface="Calibri"/>
                <a:ea typeface="+mn-ea"/>
                <a:cs typeface="Calibri"/>
              </a:endParaRPr>
            </a:p>
          </xdr:txBody>
        </xdr:sp>
        <xdr:sp macro="" textlink="$F$3">
          <xdr:nvSpPr>
            <xdr:cNvPr id="51" name="Rectangle: Rounded Corners 50">
              <a:extLst>
                <a:ext uri="{FF2B5EF4-FFF2-40B4-BE49-F238E27FC236}">
                  <a16:creationId xmlns:a16="http://schemas.microsoft.com/office/drawing/2014/main" id="{0CEBB2A9-D613-7301-1F36-6B4777E19758}"/>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4" name="Group 43">
            <a:extLst>
              <a:ext uri="{FF2B5EF4-FFF2-40B4-BE49-F238E27FC236}">
                <a16:creationId xmlns:a16="http://schemas.microsoft.com/office/drawing/2014/main" id="{DF2842D7-61E4-F156-CE2B-71FC8FB736D0}"/>
              </a:ext>
            </a:extLst>
          </xdr:cNvPr>
          <xdr:cNvGrpSpPr/>
        </xdr:nvGrpSpPr>
        <xdr:grpSpPr>
          <a:xfrm>
            <a:off x="10174537" y="8336"/>
            <a:ext cx="1879364" cy="860184"/>
            <a:chOff x="5575677" y="4000500"/>
            <a:chExt cx="1587504" cy="571500"/>
          </a:xfrm>
        </xdr:grpSpPr>
        <xdr:sp macro="" textlink="Sheet3!G12">
          <xdr:nvSpPr>
            <xdr:cNvPr id="48" name="Rectangle: Rounded Corners 47">
              <a:extLst>
                <a:ext uri="{FF2B5EF4-FFF2-40B4-BE49-F238E27FC236}">
                  <a16:creationId xmlns:a16="http://schemas.microsoft.com/office/drawing/2014/main" id="{567EDCDC-AE08-08D9-124E-2820B3953AE4}"/>
                </a:ext>
              </a:extLst>
            </xdr:cNvPr>
            <xdr:cNvSpPr/>
          </xdr:nvSpPr>
          <xdr:spPr>
            <a:xfrm>
              <a:off x="5575677" y="4000500"/>
              <a:ext cx="158750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98063DE-5953-40C9-9BF7-D03B73949A68}" type="TxLink">
                <a:rPr lang="en-US" sz="2400" b="1" i="0" u="none" strike="noStrike">
                  <a:solidFill>
                    <a:srgbClr val="002060"/>
                  </a:solidFill>
                  <a:latin typeface="Calibri"/>
                  <a:ea typeface="+mn-ea"/>
                  <a:cs typeface="Calibri"/>
                </a:rPr>
                <a:pPr marL="0" indent="0" algn="ctr"/>
                <a:t>15.8%</a:t>
              </a:fld>
              <a:endParaRPr lang="en-IN" sz="2400" b="1" i="0" u="none" strike="noStrike">
                <a:solidFill>
                  <a:srgbClr val="002060"/>
                </a:solidFill>
                <a:latin typeface="Calibri"/>
                <a:ea typeface="+mn-ea"/>
                <a:cs typeface="Calibri"/>
              </a:endParaRPr>
            </a:p>
          </xdr:txBody>
        </xdr:sp>
        <xdr:sp macro="" textlink="$G$3">
          <xdr:nvSpPr>
            <xdr:cNvPr id="49" name="Rectangle: Rounded Corners 48">
              <a:extLst>
                <a:ext uri="{FF2B5EF4-FFF2-40B4-BE49-F238E27FC236}">
                  <a16:creationId xmlns:a16="http://schemas.microsoft.com/office/drawing/2014/main" id="{F203273D-ED65-EAA5-EFB3-F0AAA68A4A0B}"/>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5" name="Group 44">
            <a:extLst>
              <a:ext uri="{FF2B5EF4-FFF2-40B4-BE49-F238E27FC236}">
                <a16:creationId xmlns:a16="http://schemas.microsoft.com/office/drawing/2014/main" id="{A9CEDF70-4A2A-DEDE-9F6D-38A211FCFF90}"/>
              </a:ext>
            </a:extLst>
          </xdr:cNvPr>
          <xdr:cNvGrpSpPr/>
        </xdr:nvGrpSpPr>
        <xdr:grpSpPr>
          <a:xfrm>
            <a:off x="12078415" y="10506"/>
            <a:ext cx="2039753" cy="860184"/>
            <a:chOff x="5253500" y="4001942"/>
            <a:chExt cx="1722985" cy="571500"/>
          </a:xfrm>
        </xdr:grpSpPr>
        <xdr:sp macro="" textlink="Sheet3!G15">
          <xdr:nvSpPr>
            <xdr:cNvPr id="46" name="Rectangle: Rounded Corners 45">
              <a:extLst>
                <a:ext uri="{FF2B5EF4-FFF2-40B4-BE49-F238E27FC236}">
                  <a16:creationId xmlns:a16="http://schemas.microsoft.com/office/drawing/2014/main" id="{3474A09A-9B93-84BA-D8A4-25CC7F914289}"/>
                </a:ext>
              </a:extLst>
            </xdr:cNvPr>
            <xdr:cNvSpPr/>
          </xdr:nvSpPr>
          <xdr:spPr>
            <a:xfrm>
              <a:off x="5253500" y="4001942"/>
              <a:ext cx="1722985"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67EF676B-4836-47AD-AF7F-5FFD0EF8D54B}" type="TxLink">
                <a:rPr lang="en-US" sz="2400" b="1" i="0" u="none" strike="noStrike">
                  <a:solidFill>
                    <a:srgbClr val="002060"/>
                  </a:solidFill>
                  <a:latin typeface="Calibri"/>
                  <a:ea typeface="+mn-ea"/>
                  <a:cs typeface="Calibri"/>
                </a:rPr>
                <a:pPr marL="0" indent="0" algn="ctr"/>
                <a:t>4 Yrs</a:t>
              </a:fld>
              <a:endParaRPr lang="en-US" sz="2400" b="1" i="0" u="none" strike="noStrike">
                <a:solidFill>
                  <a:srgbClr val="002060"/>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D7E408F0-9C76-055E-2F79-33C4C85C66E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clientData/>
  </xdr:twoCellAnchor>
  <xdr:twoCellAnchor>
    <xdr:from>
      <xdr:col>18</xdr:col>
      <xdr:colOff>113983</xdr:colOff>
      <xdr:row>0</xdr:row>
      <xdr:rowOff>43432</xdr:rowOff>
    </xdr:from>
    <xdr:to>
      <xdr:col>21</xdr:col>
      <xdr:colOff>540190</xdr:colOff>
      <xdr:row>1</xdr:row>
      <xdr:rowOff>132892</xdr:rowOff>
    </xdr:to>
    <xdr:sp macro="" textlink="">
      <xdr:nvSpPr>
        <xdr:cNvPr id="36" name="Rectangle 35">
          <a:extLst>
            <a:ext uri="{FF2B5EF4-FFF2-40B4-BE49-F238E27FC236}">
              <a16:creationId xmlns:a16="http://schemas.microsoft.com/office/drawing/2014/main" id="{0712954F-1D82-F438-7C6F-F0D8DCB3A95F}"/>
            </a:ext>
          </a:extLst>
        </xdr:cNvPr>
        <xdr:cNvSpPr/>
      </xdr:nvSpPr>
      <xdr:spPr>
        <a:xfrm>
          <a:off x="12221316" y="43432"/>
          <a:ext cx="1802041" cy="2799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13</xdr:col>
      <xdr:colOff>96744</xdr:colOff>
      <xdr:row>0</xdr:row>
      <xdr:rowOff>38441</xdr:rowOff>
    </xdr:from>
    <xdr:to>
      <xdr:col>16</xdr:col>
      <xdr:colOff>436146</xdr:colOff>
      <xdr:row>1</xdr:row>
      <xdr:rowOff>134785</xdr:rowOff>
    </xdr:to>
    <xdr:sp macro="" textlink="Sheet3!G11">
      <xdr:nvSpPr>
        <xdr:cNvPr id="32" name="Rectangle 31">
          <a:extLst>
            <a:ext uri="{FF2B5EF4-FFF2-40B4-BE49-F238E27FC236}">
              <a16:creationId xmlns:a16="http://schemas.microsoft.com/office/drawing/2014/main" id="{57DCBC41-222B-4BA5-9974-39DFA32CDC45}"/>
            </a:ext>
          </a:extLst>
        </xdr:cNvPr>
        <xdr:cNvSpPr/>
      </xdr:nvSpPr>
      <xdr:spPr>
        <a:xfrm>
          <a:off x="10246161" y="38441"/>
          <a:ext cx="1799902"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8</xdr:col>
      <xdr:colOff>252371</xdr:colOff>
      <xdr:row>0</xdr:row>
      <xdr:rowOff>42692</xdr:rowOff>
    </xdr:from>
    <xdr:to>
      <xdr:col>12</xdr:col>
      <xdr:colOff>431520</xdr:colOff>
      <xdr:row>1</xdr:row>
      <xdr:rowOff>139036</xdr:rowOff>
    </xdr:to>
    <xdr:sp macro="" textlink="">
      <xdr:nvSpPr>
        <xdr:cNvPr id="33" name="Rectangle 32">
          <a:extLst>
            <a:ext uri="{FF2B5EF4-FFF2-40B4-BE49-F238E27FC236}">
              <a16:creationId xmlns:a16="http://schemas.microsoft.com/office/drawing/2014/main" id="{4CBEFC05-5CE2-46E1-89C7-B62475A7680F}"/>
            </a:ext>
          </a:extLst>
        </xdr:cNvPr>
        <xdr:cNvSpPr/>
      </xdr:nvSpPr>
      <xdr:spPr>
        <a:xfrm>
          <a:off x="7904121" y="42692"/>
          <a:ext cx="2179399"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4</xdr:col>
      <xdr:colOff>1023386</xdr:colOff>
      <xdr:row>0</xdr:row>
      <xdr:rowOff>57565</xdr:rowOff>
    </xdr:from>
    <xdr:to>
      <xdr:col>8</xdr:col>
      <xdr:colOff>89729</xdr:colOff>
      <xdr:row>1</xdr:row>
      <xdr:rowOff>153909</xdr:rowOff>
    </xdr:to>
    <xdr:sp macro="" textlink="">
      <xdr:nvSpPr>
        <xdr:cNvPr id="35" name="Rectangle 34">
          <a:extLst>
            <a:ext uri="{FF2B5EF4-FFF2-40B4-BE49-F238E27FC236}">
              <a16:creationId xmlns:a16="http://schemas.microsoft.com/office/drawing/2014/main" id="{62776BC6-4244-FEA0-6E8D-69E3C7927A35}"/>
            </a:ext>
          </a:extLst>
        </xdr:cNvPr>
        <xdr:cNvSpPr/>
      </xdr:nvSpPr>
      <xdr:spPr>
        <a:xfrm>
          <a:off x="5627136" y="57565"/>
          <a:ext cx="2114343"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0</xdr:col>
      <xdr:colOff>86473</xdr:colOff>
      <xdr:row>0</xdr:row>
      <xdr:rowOff>40570</xdr:rowOff>
    </xdr:from>
    <xdr:to>
      <xdr:col>4</xdr:col>
      <xdr:colOff>882429</xdr:colOff>
      <xdr:row>1</xdr:row>
      <xdr:rowOff>136914</xdr:rowOff>
    </xdr:to>
    <xdr:sp macro="" textlink="">
      <xdr:nvSpPr>
        <xdr:cNvPr id="38" name="Rectangle 37">
          <a:extLst>
            <a:ext uri="{FF2B5EF4-FFF2-40B4-BE49-F238E27FC236}">
              <a16:creationId xmlns:a16="http://schemas.microsoft.com/office/drawing/2014/main" id="{33B97D61-B6DA-68AA-81C6-BFF59EE87230}"/>
            </a:ext>
          </a:extLst>
        </xdr:cNvPr>
        <xdr:cNvSpPr/>
      </xdr:nvSpPr>
      <xdr:spPr>
        <a:xfrm>
          <a:off x="86473" y="40570"/>
          <a:ext cx="5399706"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618F8610-890A-46F3-8CCF-53EAA4E846F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41B57925-FC65-4160-A898-50A65119856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2C1537B-80FB-43B7-A51F-0F3BF34FC19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E546F273-9FA3-48F4-88B0-D9E5911373B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6E95C2D8-6864-4B49-B055-A10D32B10CB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907B17F6-EC32-4A2E-9F9E-E5BDAF337F1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8FCD7444-A04A-45F1-8DE1-1053DFC0D9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6E6DAAC3-B3F7-4836-90EF-3D899E1CA4D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4954FD96-A16B-429B-9447-A4521C68B82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6C4843E1-05F9-49F1-A894-375F731A2D3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FCCF4EFC-9AC0-4400-9A7A-31D1BE64DE0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2100D060-CB5F-466D-8207-C6AD402519C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7832C6FC-ECE7-43DC-92C3-DD62E9E440F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34666A16-5F7B-491F-8FC6-EB75453B5AE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1D3B1BD0-EA23-45B1-9C7E-C43AB9899C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058EF16A-3A50-4E48-B8D8-20BF07D6261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E753E921-B7DA-4BCB-B366-6CA0EFE89CE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18F12030-4091-4CF1-B4B2-BC54D8A3D28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1783AE26-BB8A-4749-A0FB-FBC2B711E74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2E379992-AF2B-4BA3-8898-B85346CE45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178C29AE-3D01-4FA7-9405-E622D1CA0A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6DAAC54-8C7E-4B15-9BE0-6EE95AEFA17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B4F909C2-8830-4EEB-A0F7-FBBBFFD77C5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28360A8C-3DC9-4445-A7A9-7C406750303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511ED084-0B79-4A00-807F-A1EFC06C1206}"/>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93785A66-78A0-4E82-96A6-EF2B34D7763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AD1FD198-E3D4-4BB1-8250-4380793AE0E2}"/>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83B16F03-EEDC-48EB-A08B-F728E3E2822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B41EEA85-6F62-4C59-BF51-89D8F990F95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10</xdr:col>
      <xdr:colOff>95250</xdr:colOff>
      <xdr:row>21</xdr:row>
      <xdr:rowOff>9526</xdr:rowOff>
    </xdr:to>
    <xdr:pic>
      <xdr:nvPicPr>
        <xdr:cNvPr id="4" name="Picture 3">
          <a:extLst>
            <a:ext uri="{FF2B5EF4-FFF2-40B4-BE49-F238E27FC236}">
              <a16:creationId xmlns:a16="http://schemas.microsoft.com/office/drawing/2014/main" id="{EABF2F5E-35E4-4331-AEA9-F1784195CF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667000"/>
          <a:ext cx="5581650" cy="13430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ideep.kumar.TECHSCIRESEARCH/AppData/Local/Microsoft/Windows/INetCache/Content.Outlook/MJHP96NZ/03-06-2022_TEFR%20Phenol%20Acetone%20Market%202010-20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20120/AppData/Local/Microsoft/Windows/INetCache/Content.Outlook/VSW8M2FO/Price%20Table%20Sep%207%20202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2-05-2022_TEFR%20Phenol%20Acetone%20Market%202010-204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SBG\Cost%20of%20Production%20Method%20Analysis\New%20folder\TEFR%20PVC%20August%2026%20202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Background and Option Evaluated"/>
      <sheetName val="Scenario"/>
      <sheetName val="Dashboard"/>
      <sheetName val="Sheet2"/>
      <sheetName val="Opex"/>
      <sheetName val="Capex"/>
      <sheetName val="Annual COP"/>
      <sheetName val="Cashflow Option 1"/>
      <sheetName val="Cashflow Option 2"/>
      <sheetName val="Cashflow Option 3"/>
      <sheetName val="Cashflow - PVC Phenol"/>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 val="DASH"/>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22">
          <cell r="D22">
            <v>1768.675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Background and Option Evaluated"/>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Scenario Phenol"/>
    </sheetNames>
    <sheetDataSet>
      <sheetData sheetId="0"/>
      <sheetData sheetId="1"/>
      <sheetData sheetId="2">
        <row r="2">
          <cell r="A2" t="str">
            <v>Option 1 : Capacity of 200 KTPA Phenol and 123 KTPA Acetone capacity (Propane Furnace Additional)</v>
          </cell>
        </row>
        <row r="4">
          <cell r="A4" t="str">
            <v>Option 3 : Capacity for 200 KTPA Phenol + 120 KTPA Acetone, (Propylene - 80 % in house and 20 % external procurement)</v>
          </cell>
        </row>
      </sheetData>
      <sheetData sheetId="3"/>
      <sheetData sheetId="4"/>
      <sheetData sheetId="5"/>
      <sheetData sheetId="6">
        <row r="56">
          <cell r="CM56">
            <v>58590.053407738094</v>
          </cell>
        </row>
        <row r="57">
          <cell r="CM57">
            <v>77038.391071428574</v>
          </cell>
        </row>
      </sheetData>
      <sheetData sheetId="7">
        <row r="7">
          <cell r="CM7">
            <v>49804.452380952382</v>
          </cell>
        </row>
        <row r="70">
          <cell r="CM70">
            <v>52578.253724148555</v>
          </cell>
        </row>
      </sheetData>
      <sheetData sheetId="8">
        <row r="70">
          <cell r="CM70">
            <v>53119.883382014108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eds prices (csv)"/>
      <sheetName val="Price PoInts"/>
      <sheetName val=" 2014 Onwards"/>
      <sheetName val="$ to INR"/>
    </sheetNames>
    <sheetDataSet>
      <sheetData sheetId="0" refreshError="1"/>
      <sheetData sheetId="1"/>
      <sheetData sheetId="2"/>
      <sheetData sheetId="3">
        <row r="3">
          <cell r="R3">
            <v>40575</v>
          </cell>
          <cell r="S3">
            <v>45.228749999999998</v>
          </cell>
        </row>
        <row r="4">
          <cell r="R4">
            <v>40603</v>
          </cell>
          <cell r="S4">
            <v>44.797500000000007</v>
          </cell>
        </row>
        <row r="5">
          <cell r="R5">
            <v>40634</v>
          </cell>
          <cell r="S5">
            <v>44.199999999999996</v>
          </cell>
        </row>
        <row r="6">
          <cell r="R6">
            <v>40664</v>
          </cell>
          <cell r="S6">
            <v>44.911000000000001</v>
          </cell>
        </row>
        <row r="7">
          <cell r="R7">
            <v>40695</v>
          </cell>
          <cell r="S7">
            <v>44.78875</v>
          </cell>
        </row>
        <row r="8">
          <cell r="R8">
            <v>40725</v>
          </cell>
          <cell r="S8">
            <v>44.435000000000002</v>
          </cell>
        </row>
        <row r="9">
          <cell r="R9">
            <v>40756</v>
          </cell>
          <cell r="S9">
            <v>45.753749999999997</v>
          </cell>
        </row>
        <row r="10">
          <cell r="R10">
            <v>40787</v>
          </cell>
          <cell r="S10">
            <v>48.047499999999999</v>
          </cell>
        </row>
        <row r="11">
          <cell r="R11">
            <v>40817</v>
          </cell>
          <cell r="S11">
            <v>49.106000000000002</v>
          </cell>
        </row>
        <row r="12">
          <cell r="R12">
            <v>40848</v>
          </cell>
          <cell r="S12">
            <v>51.122500000000002</v>
          </cell>
        </row>
        <row r="13">
          <cell r="R13">
            <v>40878</v>
          </cell>
          <cell r="S13">
            <v>52.545000000000002</v>
          </cell>
        </row>
        <row r="14">
          <cell r="R14">
            <v>40909</v>
          </cell>
          <cell r="S14">
            <v>50.471000000000004</v>
          </cell>
        </row>
        <row r="15">
          <cell r="R15">
            <v>40940</v>
          </cell>
          <cell r="S15">
            <v>49.306249999999999</v>
          </cell>
        </row>
        <row r="16">
          <cell r="R16">
            <v>40969</v>
          </cell>
          <cell r="S16">
            <v>50.487499999999997</v>
          </cell>
        </row>
        <row r="17">
          <cell r="R17">
            <v>41000</v>
          </cell>
          <cell r="S17">
            <v>52.152000000000008</v>
          </cell>
        </row>
        <row r="18">
          <cell r="R18">
            <v>41030</v>
          </cell>
          <cell r="S18">
            <v>54.745000000000005</v>
          </cell>
        </row>
        <row r="19">
          <cell r="R19">
            <v>41061</v>
          </cell>
          <cell r="S19">
            <v>55.863749999999996</v>
          </cell>
        </row>
        <row r="20">
          <cell r="R20">
            <v>41091</v>
          </cell>
          <cell r="S20">
            <v>55.378</v>
          </cell>
        </row>
        <row r="21">
          <cell r="R21">
            <v>41122</v>
          </cell>
          <cell r="S21">
            <v>55.512500000000003</v>
          </cell>
        </row>
        <row r="22">
          <cell r="R22">
            <v>41153</v>
          </cell>
          <cell r="S22">
            <v>53.561</v>
          </cell>
        </row>
        <row r="23">
          <cell r="R23">
            <v>41183</v>
          </cell>
          <cell r="S23">
            <v>53.506250000000001</v>
          </cell>
        </row>
        <row r="24">
          <cell r="R24">
            <v>41214</v>
          </cell>
          <cell r="S24">
            <v>54.868749999999991</v>
          </cell>
        </row>
        <row r="25">
          <cell r="R25">
            <v>41244</v>
          </cell>
          <cell r="S25">
            <v>54.710999999999991</v>
          </cell>
        </row>
        <row r="26">
          <cell r="R26">
            <v>41275</v>
          </cell>
          <cell r="S26">
            <v>53.897500000000008</v>
          </cell>
        </row>
        <row r="27">
          <cell r="R27">
            <v>41306</v>
          </cell>
          <cell r="S27">
            <v>54.276249999999997</v>
          </cell>
        </row>
        <row r="28">
          <cell r="R28">
            <v>41334</v>
          </cell>
          <cell r="S28">
            <v>54.364999999999995</v>
          </cell>
        </row>
        <row r="29">
          <cell r="R29">
            <v>41365</v>
          </cell>
          <cell r="S29">
            <v>54.162500000000001</v>
          </cell>
        </row>
        <row r="30">
          <cell r="R30">
            <v>41395</v>
          </cell>
          <cell r="S30">
            <v>55.526250000000005</v>
          </cell>
        </row>
        <row r="31">
          <cell r="R31">
            <v>41426</v>
          </cell>
          <cell r="S31">
            <v>58.721600000000002</v>
          </cell>
        </row>
        <row r="32">
          <cell r="R32">
            <v>41456</v>
          </cell>
          <cell r="S32">
            <v>59.845499999999994</v>
          </cell>
        </row>
        <row r="33">
          <cell r="R33">
            <v>41487</v>
          </cell>
          <cell r="S33">
            <v>62.813749999999999</v>
          </cell>
        </row>
        <row r="34">
          <cell r="R34">
            <v>41518</v>
          </cell>
          <cell r="S34">
            <v>62.962000000000003</v>
          </cell>
        </row>
        <row r="35">
          <cell r="R35">
            <v>41548</v>
          </cell>
          <cell r="S35">
            <v>61.368750000000006</v>
          </cell>
        </row>
        <row r="36">
          <cell r="R36">
            <v>41579</v>
          </cell>
          <cell r="S36">
            <v>62.647999999999996</v>
          </cell>
        </row>
        <row r="37">
          <cell r="R37">
            <v>41609</v>
          </cell>
          <cell r="S37">
            <v>61.951999999999998</v>
          </cell>
        </row>
        <row r="38">
          <cell r="R38">
            <v>41640</v>
          </cell>
          <cell r="S38">
            <v>62.207999999999998</v>
          </cell>
        </row>
        <row r="39">
          <cell r="R39">
            <v>41671</v>
          </cell>
          <cell r="S39">
            <v>62.023750000000007</v>
          </cell>
        </row>
        <row r="40">
          <cell r="R40">
            <v>41699</v>
          </cell>
          <cell r="S40">
            <v>60.632999999999996</v>
          </cell>
        </row>
        <row r="41">
          <cell r="R41">
            <v>41730</v>
          </cell>
          <cell r="S41">
            <v>60.326250000000002</v>
          </cell>
        </row>
        <row r="42">
          <cell r="R42">
            <v>41760</v>
          </cell>
          <cell r="S42">
            <v>59.067500000000003</v>
          </cell>
        </row>
        <row r="43">
          <cell r="R43">
            <v>41791</v>
          </cell>
          <cell r="S43">
            <v>59.766000000000005</v>
          </cell>
        </row>
        <row r="44">
          <cell r="R44">
            <v>41821</v>
          </cell>
          <cell r="S44">
            <v>60.41375</v>
          </cell>
        </row>
        <row r="45">
          <cell r="R45">
            <v>41852</v>
          </cell>
          <cell r="S45">
            <v>60.661999999999999</v>
          </cell>
        </row>
        <row r="46">
          <cell r="R46">
            <v>41883</v>
          </cell>
          <cell r="S46">
            <v>61.051249999999996</v>
          </cell>
        </row>
        <row r="47">
          <cell r="R47">
            <v>41913</v>
          </cell>
          <cell r="S47">
            <v>61.306249999999999</v>
          </cell>
        </row>
        <row r="48">
          <cell r="R48">
            <v>41944</v>
          </cell>
          <cell r="S48">
            <v>61.826000000000001</v>
          </cell>
        </row>
        <row r="49">
          <cell r="R49">
            <v>41974</v>
          </cell>
          <cell r="S49">
            <v>63.154249999999998</v>
          </cell>
        </row>
        <row r="50">
          <cell r="R50">
            <v>42005</v>
          </cell>
          <cell r="S50">
            <v>61.921250000000001</v>
          </cell>
        </row>
        <row r="51">
          <cell r="R51">
            <v>42036</v>
          </cell>
          <cell r="S51">
            <v>61.953499999999998</v>
          </cell>
        </row>
        <row r="52">
          <cell r="R52">
            <v>42064</v>
          </cell>
          <cell r="S52">
            <v>62.487199999999994</v>
          </cell>
        </row>
        <row r="53">
          <cell r="R53">
            <v>42095</v>
          </cell>
          <cell r="S53">
            <v>63.051749999999998</v>
          </cell>
        </row>
        <row r="54">
          <cell r="R54">
            <v>42125</v>
          </cell>
          <cell r="S54">
            <v>63.630800000000001</v>
          </cell>
        </row>
        <row r="55">
          <cell r="R55">
            <v>42156</v>
          </cell>
          <cell r="S55">
            <v>63.615749999999998</v>
          </cell>
        </row>
        <row r="56">
          <cell r="R56">
            <v>42186</v>
          </cell>
          <cell r="S56">
            <v>63.735999999999997</v>
          </cell>
        </row>
        <row r="57">
          <cell r="R57">
            <v>42217</v>
          </cell>
          <cell r="S57">
            <v>65.54740000000001</v>
          </cell>
        </row>
        <row r="58">
          <cell r="R58">
            <v>42248</v>
          </cell>
          <cell r="S58">
            <v>65.910750000000007</v>
          </cell>
        </row>
        <row r="59">
          <cell r="R59">
            <v>42278</v>
          </cell>
          <cell r="S59">
            <v>64.9495</v>
          </cell>
        </row>
        <row r="60">
          <cell r="R60">
            <v>42309</v>
          </cell>
          <cell r="S60">
            <v>66.361400000000003</v>
          </cell>
        </row>
        <row r="61">
          <cell r="R61">
            <v>42339</v>
          </cell>
          <cell r="S61">
            <v>66.415750000000003</v>
          </cell>
        </row>
        <row r="62">
          <cell r="R62">
            <v>42370</v>
          </cell>
          <cell r="S62">
            <v>67.57180000000001</v>
          </cell>
        </row>
        <row r="63">
          <cell r="R63">
            <v>42401</v>
          </cell>
          <cell r="S63">
            <v>68.084500000000006</v>
          </cell>
        </row>
        <row r="64">
          <cell r="R64">
            <v>42430</v>
          </cell>
          <cell r="S64">
            <v>66.624750000000006</v>
          </cell>
        </row>
        <row r="65">
          <cell r="R65">
            <v>42461</v>
          </cell>
          <cell r="S65">
            <v>66.573999999999998</v>
          </cell>
        </row>
        <row r="66">
          <cell r="R66">
            <v>42491</v>
          </cell>
          <cell r="S66">
            <v>66.978800000000007</v>
          </cell>
        </row>
        <row r="67">
          <cell r="R67">
            <v>42522</v>
          </cell>
          <cell r="S67">
            <v>67.27525</v>
          </cell>
        </row>
        <row r="68">
          <cell r="R68">
            <v>42552</v>
          </cell>
          <cell r="S68">
            <v>66.986199999999997</v>
          </cell>
        </row>
        <row r="69">
          <cell r="R69">
            <v>42583</v>
          </cell>
          <cell r="S69">
            <v>66.994</v>
          </cell>
        </row>
        <row r="70">
          <cell r="R70">
            <v>42614</v>
          </cell>
          <cell r="S70">
            <v>66.808250000000001</v>
          </cell>
        </row>
        <row r="71">
          <cell r="R71">
            <v>42644</v>
          </cell>
          <cell r="S71">
            <v>66.763800000000003</v>
          </cell>
        </row>
        <row r="72">
          <cell r="R72">
            <v>42675</v>
          </cell>
          <cell r="S72">
            <v>68.07650000000001</v>
          </cell>
        </row>
        <row r="73">
          <cell r="R73">
            <v>42705</v>
          </cell>
          <cell r="S73">
            <v>67.77924999999999</v>
          </cell>
        </row>
        <row r="74">
          <cell r="R74">
            <v>42736</v>
          </cell>
          <cell r="S74">
            <v>67.931799999999996</v>
          </cell>
        </row>
        <row r="75">
          <cell r="R75">
            <v>42767</v>
          </cell>
          <cell r="S75">
            <v>66.839750000000009</v>
          </cell>
        </row>
        <row r="76">
          <cell r="R76">
            <v>42795</v>
          </cell>
          <cell r="S76">
            <v>65.578749999999999</v>
          </cell>
        </row>
        <row r="77">
          <cell r="R77">
            <v>42826</v>
          </cell>
          <cell r="S77">
            <v>64.400999999999996</v>
          </cell>
        </row>
        <row r="78">
          <cell r="R78">
            <v>42856</v>
          </cell>
          <cell r="S78">
            <v>64.433250000000001</v>
          </cell>
        </row>
        <row r="79">
          <cell r="R79">
            <v>42887</v>
          </cell>
          <cell r="S79">
            <v>64.458750000000009</v>
          </cell>
        </row>
        <row r="80">
          <cell r="R80">
            <v>42917</v>
          </cell>
          <cell r="S80">
            <v>64.244800000000012</v>
          </cell>
        </row>
        <row r="81">
          <cell r="R81">
            <v>42948</v>
          </cell>
          <cell r="S81">
            <v>64.066249999999997</v>
          </cell>
        </row>
        <row r="82">
          <cell r="R82">
            <v>42979</v>
          </cell>
          <cell r="S82">
            <v>64.5</v>
          </cell>
        </row>
        <row r="83">
          <cell r="R83">
            <v>43009</v>
          </cell>
          <cell r="S83">
            <v>64.948000000000008</v>
          </cell>
        </row>
        <row r="84">
          <cell r="R84">
            <v>43040</v>
          </cell>
          <cell r="S84">
            <v>64.851249999999993</v>
          </cell>
        </row>
        <row r="85">
          <cell r="R85">
            <v>43070</v>
          </cell>
          <cell r="S85">
            <v>63.951999999999998</v>
          </cell>
        </row>
        <row r="86">
          <cell r="R86">
            <v>43101</v>
          </cell>
          <cell r="S86">
            <v>63.79</v>
          </cell>
        </row>
        <row r="87">
          <cell r="R87">
            <v>43132</v>
          </cell>
          <cell r="S87">
            <v>64.63</v>
          </cell>
        </row>
        <row r="88">
          <cell r="R88">
            <v>43160</v>
          </cell>
          <cell r="S88">
            <v>65.055000000000007</v>
          </cell>
        </row>
        <row r="89">
          <cell r="R89">
            <v>43191</v>
          </cell>
          <cell r="S89">
            <v>65.966999999999999</v>
          </cell>
        </row>
        <row r="90">
          <cell r="R90">
            <v>43221</v>
          </cell>
          <cell r="S90">
            <v>67.518749999999997</v>
          </cell>
        </row>
        <row r="91">
          <cell r="R91">
            <v>43252</v>
          </cell>
          <cell r="S91">
            <v>67.98</v>
          </cell>
        </row>
        <row r="92">
          <cell r="R92">
            <v>43282</v>
          </cell>
          <cell r="S92">
            <v>68.63900000000001</v>
          </cell>
        </row>
        <row r="93">
          <cell r="R93">
            <v>43313</v>
          </cell>
          <cell r="S93">
            <v>69.991250000000008</v>
          </cell>
        </row>
        <row r="94">
          <cell r="R94">
            <v>43344</v>
          </cell>
          <cell r="S94">
            <v>72.438000000000002</v>
          </cell>
        </row>
        <row r="95">
          <cell r="R95">
            <v>43374</v>
          </cell>
          <cell r="S95">
            <v>73.221249999999998</v>
          </cell>
        </row>
        <row r="96">
          <cell r="R96">
            <v>43405</v>
          </cell>
          <cell r="S96">
            <v>71.191249999999997</v>
          </cell>
        </row>
        <row r="97">
          <cell r="R97">
            <v>43435</v>
          </cell>
          <cell r="S97">
            <v>70.48060000000001</v>
          </cell>
        </row>
        <row r="98">
          <cell r="R98">
            <v>43466</v>
          </cell>
          <cell r="S98">
            <v>70.98599999999999</v>
          </cell>
        </row>
        <row r="99">
          <cell r="R99">
            <v>43497</v>
          </cell>
          <cell r="S99">
            <v>71.134999999999991</v>
          </cell>
        </row>
        <row r="100">
          <cell r="R100">
            <v>43525</v>
          </cell>
          <cell r="S100">
            <v>69.3</v>
          </cell>
        </row>
        <row r="101">
          <cell r="R101">
            <v>43556</v>
          </cell>
          <cell r="S101">
            <v>69.385499999999993</v>
          </cell>
        </row>
        <row r="102">
          <cell r="R102">
            <v>43586</v>
          </cell>
          <cell r="S102">
            <v>69.813749999999999</v>
          </cell>
        </row>
        <row r="103">
          <cell r="R103">
            <v>43617</v>
          </cell>
          <cell r="S103">
            <v>69.240600000000001</v>
          </cell>
        </row>
        <row r="104">
          <cell r="R104">
            <v>43647</v>
          </cell>
          <cell r="S104">
            <v>69</v>
          </cell>
        </row>
        <row r="105">
          <cell r="R105">
            <v>43678</v>
          </cell>
          <cell r="S105">
            <v>71.261250000000004</v>
          </cell>
        </row>
        <row r="106">
          <cell r="R106">
            <v>43709</v>
          </cell>
          <cell r="S106">
            <v>71.007800000000003</v>
          </cell>
        </row>
        <row r="107">
          <cell r="R107">
            <v>43739</v>
          </cell>
          <cell r="S107">
            <v>70.898499999999999</v>
          </cell>
        </row>
        <row r="108">
          <cell r="R108">
            <v>43770</v>
          </cell>
          <cell r="S108">
            <v>71.637749999999997</v>
          </cell>
        </row>
        <row r="109">
          <cell r="R109">
            <v>43800</v>
          </cell>
          <cell r="S109">
            <v>71.273200000000003</v>
          </cell>
        </row>
        <row r="110">
          <cell r="R110">
            <v>43831</v>
          </cell>
          <cell r="S110">
            <v>71.230999999999995</v>
          </cell>
        </row>
        <row r="111">
          <cell r="R111">
            <v>43862</v>
          </cell>
          <cell r="S111">
            <v>71.865499999999997</v>
          </cell>
        </row>
        <row r="112">
          <cell r="R112">
            <v>43891</v>
          </cell>
          <cell r="S112">
            <v>74.991</v>
          </cell>
        </row>
        <row r="113">
          <cell r="R113">
            <v>43922</v>
          </cell>
          <cell r="S113">
            <v>76.111999999999995</v>
          </cell>
        </row>
        <row r="114">
          <cell r="R114">
            <v>43952</v>
          </cell>
          <cell r="S114">
            <v>75.695999999999998</v>
          </cell>
        </row>
        <row r="115">
          <cell r="R115">
            <v>43983</v>
          </cell>
          <cell r="S115">
            <v>75.641500000000008</v>
          </cell>
        </row>
        <row r="116">
          <cell r="R116">
            <v>44013</v>
          </cell>
          <cell r="S116">
            <v>74.941999999999993</v>
          </cell>
        </row>
        <row r="117">
          <cell r="R117">
            <v>44044</v>
          </cell>
          <cell r="S117">
            <v>74.241799999999984</v>
          </cell>
        </row>
        <row r="118">
          <cell r="R118">
            <v>44075</v>
          </cell>
          <cell r="S118">
            <v>73.482000000000014</v>
          </cell>
        </row>
        <row r="119">
          <cell r="R119">
            <v>44105</v>
          </cell>
          <cell r="S119">
            <v>73.708750000000009</v>
          </cell>
        </row>
        <row r="120">
          <cell r="R120">
            <v>44136</v>
          </cell>
          <cell r="S120">
            <v>74.067000000000007</v>
          </cell>
        </row>
        <row r="121">
          <cell r="R121">
            <v>44166</v>
          </cell>
          <cell r="S121">
            <v>73.495499999999993</v>
          </cell>
        </row>
        <row r="122">
          <cell r="R122">
            <v>44197</v>
          </cell>
          <cell r="S122">
            <v>73.023400000000009</v>
          </cell>
        </row>
        <row r="123">
          <cell r="R123">
            <v>44228</v>
          </cell>
          <cell r="S123">
            <v>73.057500000000005</v>
          </cell>
        </row>
        <row r="124">
          <cell r="R124">
            <v>44256</v>
          </cell>
          <cell r="S124">
            <v>72.765250000000009</v>
          </cell>
        </row>
        <row r="125">
          <cell r="R125">
            <v>44287</v>
          </cell>
          <cell r="S125">
            <v>74.555500000000009</v>
          </cell>
        </row>
        <row r="126">
          <cell r="R126">
            <v>44317</v>
          </cell>
          <cell r="S126">
            <v>72.9238</v>
          </cell>
        </row>
        <row r="127">
          <cell r="R127">
            <v>44348</v>
          </cell>
          <cell r="S127">
            <v>74.015499999999989</v>
          </cell>
        </row>
        <row r="128">
          <cell r="R128">
            <v>44378</v>
          </cell>
          <cell r="S128">
            <v>74.463250000000002</v>
          </cell>
        </row>
        <row r="129">
          <cell r="R129">
            <v>44409</v>
          </cell>
          <cell r="S129">
            <v>73.855599999999981</v>
          </cell>
        </row>
        <row r="130">
          <cell r="R130">
            <v>44440</v>
          </cell>
          <cell r="S130">
            <v>73.77525</v>
          </cell>
        </row>
        <row r="131">
          <cell r="R131">
            <v>44470</v>
          </cell>
          <cell r="S131">
            <v>75.146000000000001</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row r="4">
          <cell r="F4">
            <v>569</v>
          </cell>
        </row>
        <row r="5">
          <cell r="F5">
            <v>1611</v>
          </cell>
        </row>
        <row r="6">
          <cell r="F6">
            <v>697</v>
          </cell>
        </row>
        <row r="7">
          <cell r="F7">
            <v>136</v>
          </cell>
        </row>
      </sheetData>
      <sheetData sheetId="3" refreshError="1"/>
      <sheetData sheetId="4" refreshError="1"/>
      <sheetData sheetId="5" refreshError="1"/>
      <sheetData sheetId="6" refreshError="1"/>
      <sheetData sheetId="7" refreshError="1"/>
      <sheetData sheetId="8" refreshError="1">
        <row r="3">
          <cell r="H3">
            <v>0.82</v>
          </cell>
        </row>
        <row r="15">
          <cell r="H15">
            <v>0.98795180722891562</v>
          </cell>
          <cell r="I15">
            <v>0.65714285714285725</v>
          </cell>
          <cell r="J15">
            <v>0.57894736842105254</v>
          </cell>
          <cell r="K15">
            <v>0.57894736842105254</v>
          </cell>
        </row>
        <row r="16">
          <cell r="H16">
            <v>1.2048192771084376E-2</v>
          </cell>
          <cell r="I16">
            <v>0.34285714285714275</v>
          </cell>
          <cell r="J16">
            <v>0.42105263157894746</v>
          </cell>
          <cell r="K16">
            <v>0.42105263157894746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Dashboard"/>
      <sheetName val="Sheet3"/>
      <sheetName val="Background and Option Evaluated"/>
      <sheetName val="Scenario"/>
      <sheetName val="Feed"/>
      <sheetName val="Cracker Yields"/>
      <sheetName val="Financial Model (84 Months)"/>
      <sheetName val="Feed Product Data"/>
      <sheetName val="Financial Model Base Case"/>
      <sheetName val="Financial Model Prop. Fur. Add."/>
      <sheetName val="Financial Model Eth. Fur. Add."/>
      <sheetName val="Net Change in Margin"/>
      <sheetName val="Products Output"/>
      <sheetName val="Capex"/>
      <sheetName val="Opex PVC"/>
      <sheetName val="Sales"/>
      <sheetName val="Cashflow 350 KTPA-Propane"/>
      <sheetName val="Cashflow 350 KTPA-Ethane"/>
      <sheetName val="Cashflow 500 KTPA"/>
      <sheetName val="Cashflow 500KT EDC VCM Cracking"/>
      <sheetName val="Summary"/>
      <sheetName val="Cashflow - PVC Phenol Propane"/>
      <sheetName val="Cashflow - PVC Phenol Ethane"/>
      <sheetName val="Cashflow Phenol Option -Ethane "/>
      <sheetName val="Cashflow Phenol Propane"/>
      <sheetName val="Opex Phenol"/>
      <sheetName val="Salaries &amp; Wages Calculations"/>
      <sheetName val="Profitability"/>
      <sheetName val="Sensitivity-Profitability"/>
      <sheetName val="Annual COP"/>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Profitability -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sheetData sheetId="1"/>
      <sheetData sheetId="2"/>
      <sheetData sheetId="3"/>
      <sheetData sheetId="4"/>
      <sheetData sheetId="5"/>
      <sheetData sheetId="6"/>
      <sheetData sheetId="7"/>
      <sheetData sheetId="8"/>
      <sheetData sheetId="9">
        <row r="2">
          <cell r="G2">
            <v>24824.261410500003</v>
          </cell>
          <cell r="H2">
            <v>27633.023342279994</v>
          </cell>
          <cell r="I2">
            <v>27977.231068064993</v>
          </cell>
          <cell r="J2">
            <v>27657.706787324998</v>
          </cell>
          <cell r="K2">
            <v>27666.064174229999</v>
          </cell>
          <cell r="L2">
            <v>27804.369209615998</v>
          </cell>
          <cell r="M2">
            <v>27950.668830614999</v>
          </cell>
          <cell r="N2">
            <v>28100.726036423999</v>
          </cell>
          <cell r="O2">
            <v>26823.678574062</v>
          </cell>
          <cell r="P2">
            <v>26852.434040255997</v>
          </cell>
          <cell r="Q2">
            <v>27285.595382990407</v>
          </cell>
          <cell r="R2">
            <v>27372.483521382004</v>
          </cell>
          <cell r="S2">
            <v>27142.619139852002</v>
          </cell>
          <cell r="T2">
            <v>27480.247769534399</v>
          </cell>
          <cell r="U2">
            <v>24630.386711873998</v>
          </cell>
          <cell r="V2">
            <v>24857.002097505603</v>
          </cell>
          <cell r="W2">
            <v>24957.504418524</v>
          </cell>
          <cell r="X2">
            <v>24671.356060602</v>
          </cell>
          <cell r="Y2">
            <v>22065.031348464003</v>
          </cell>
          <cell r="Z2">
            <v>22128.595366396799</v>
          </cell>
          <cell r="AA2">
            <v>22175.145645834004</v>
          </cell>
          <cell r="AB2">
            <v>22129.757356843198</v>
          </cell>
          <cell r="AC2">
            <v>22130.982157584003</v>
          </cell>
          <cell r="AD2">
            <v>22101.814627121999</v>
          </cell>
          <cell r="AE2">
            <v>20176.261138200003</v>
          </cell>
          <cell r="AF2">
            <v>20344.666108500001</v>
          </cell>
          <cell r="AG2">
            <v>20306.532203250001</v>
          </cell>
          <cell r="AH2">
            <v>20326.102690200001</v>
          </cell>
          <cell r="AI2">
            <v>20186.004687749999</v>
          </cell>
          <cell r="AJ2">
            <v>20024.232258749998</v>
          </cell>
          <cell r="AK2">
            <v>19807.044369888001</v>
          </cell>
          <cell r="AL2">
            <v>19811.148591575999</v>
          </cell>
          <cell r="AM2">
            <v>19814.393790120001</v>
          </cell>
          <cell r="AN2">
            <v>19787.165938022405</v>
          </cell>
          <cell r="AO2">
            <v>19764.443185079999</v>
          </cell>
          <cell r="AP2">
            <v>19819.643376</v>
          </cell>
          <cell r="AQ2">
            <v>21243.123751632003</v>
          </cell>
          <cell r="AR2">
            <v>21228.775525005003</v>
          </cell>
          <cell r="AS2">
            <v>21095.414875967999</v>
          </cell>
          <cell r="AT2">
            <v>21071.38993836</v>
          </cell>
          <cell r="AU2">
            <v>21195.963688920001</v>
          </cell>
          <cell r="AV2">
            <v>21258.99207462</v>
          </cell>
          <cell r="AW2">
            <v>21969.716726712002</v>
          </cell>
          <cell r="AX2">
            <v>22213.381412549999</v>
          </cell>
          <cell r="AY2">
            <v>22285.80953328</v>
          </cell>
          <cell r="AZ2">
            <v>22389.289493304001</v>
          </cell>
          <cell r="BA2">
            <v>22601.627544809999</v>
          </cell>
          <cell r="BB2">
            <v>22985.830264368</v>
          </cell>
          <cell r="BC2">
            <v>24236.038385039999</v>
          </cell>
          <cell r="BD2">
            <v>23886.024940560001</v>
          </cell>
          <cell r="BE2">
            <v>23763.494371929602</v>
          </cell>
          <cell r="BF2">
            <v>23850.635650175998</v>
          </cell>
          <cell r="BG2">
            <v>23876.32629216</v>
          </cell>
          <cell r="BH2">
            <v>23559.9348288</v>
          </cell>
          <cell r="BI2">
            <v>24749.661100421999</v>
          </cell>
          <cell r="BJ2">
            <v>24830.752192455002</v>
          </cell>
          <cell r="BK2">
            <v>24722.223624098398</v>
          </cell>
          <cell r="BL2">
            <v>24676.664916000002</v>
          </cell>
          <cell r="BM2">
            <v>25104.842923845001</v>
          </cell>
          <cell r="BN2">
            <v>25056.851009599202</v>
          </cell>
          <cell r="BO2">
            <v>23362.582985118002</v>
          </cell>
          <cell r="BP2">
            <v>23485.113220196999</v>
          </cell>
          <cell r="BQ2">
            <v>23424.689280801598</v>
          </cell>
          <cell r="BR2">
            <v>23417.694656627998</v>
          </cell>
          <cell r="BS2">
            <v>23522.862643314002</v>
          </cell>
          <cell r="BT2">
            <v>24040.912355508</v>
          </cell>
          <cell r="BU2">
            <v>20945.901743808005</v>
          </cell>
          <cell r="BV2">
            <v>20894.881721664002</v>
          </cell>
          <cell r="BW2">
            <v>20888.197608186005</v>
          </cell>
          <cell r="BX2">
            <v>20802.407931528</v>
          </cell>
          <cell r="BY2">
            <v>20716.532403871199</v>
          </cell>
          <cell r="BZ2">
            <v>20623.347276888002</v>
          </cell>
          <cell r="CA2">
            <v>18381.711629385001</v>
          </cell>
          <cell r="CB2">
            <v>18414.618655908002</v>
          </cell>
          <cell r="CC2">
            <v>18362.123566842001</v>
          </cell>
          <cell r="CD2">
            <v>18318.758857221601</v>
          </cell>
          <cell r="CE2">
            <v>18321.89111013</v>
          </cell>
          <cell r="CF2">
            <v>18295.046508591</v>
          </cell>
          <cell r="CG2">
            <v>18459.489786282</v>
          </cell>
          <cell r="CH2">
            <v>18309.610106791202</v>
          </cell>
          <cell r="CI2">
            <v>18409.888127321999</v>
          </cell>
          <cell r="CJ2">
            <v>18451.016169543</v>
          </cell>
          <cell r="CK2">
            <v>18395.2005249744</v>
          </cell>
          <cell r="CL2">
            <v>18387.819981831002</v>
          </cell>
          <cell r="CM2">
            <v>22560.373658716246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NPV@12%25"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mailto:NPV@12%25"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mailto:NPV@12%25"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NPV@12%25"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BC23E-511E-48B6-9734-12F94884E0AA}">
  <sheetPr codeName="Sheet1"/>
  <dimension ref="A1:U1"/>
  <sheetViews>
    <sheetView showGridLines="0" workbookViewId="0">
      <selection activeCell="N10" sqref="N10"/>
    </sheetView>
  </sheetViews>
  <sheetFormatPr defaultColWidth="0" defaultRowHeight="15"/>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33E3-2702-4954-88E1-F4D90747F385}">
  <sheetPr codeName="Sheet6"/>
  <dimension ref="A1:V31"/>
  <sheetViews>
    <sheetView showGridLines="0" zoomScale="90" zoomScaleNormal="90" workbookViewId="0">
      <selection activeCell="B7" sqref="B7"/>
    </sheetView>
  </sheetViews>
  <sheetFormatPr defaultRowHeight="14.25"/>
  <cols>
    <col min="1" max="1" width="10.28515625" style="950" customWidth="1"/>
    <col min="2" max="2" width="16.7109375" style="950" customWidth="1"/>
    <col min="3" max="3" width="18.5703125" style="950" customWidth="1"/>
    <col min="4" max="4" width="23.42578125" style="950" customWidth="1"/>
    <col min="5" max="5" width="22.7109375" style="950" customWidth="1"/>
    <col min="6" max="6" width="3" style="950" customWidth="1"/>
    <col min="7" max="7" width="10" style="950" customWidth="1"/>
    <col min="8" max="8" width="7.42578125" style="950" customWidth="1"/>
    <col min="9" max="9" width="6.85546875" style="950" customWidth="1"/>
    <col min="10" max="10" width="5.7109375" style="950" customWidth="1"/>
    <col min="11" max="11" width="6.5703125" style="950" customWidth="1"/>
    <col min="12" max="12" width="5.7109375" style="950" customWidth="1"/>
    <col min="13" max="13" width="8.5703125" style="950" customWidth="1"/>
    <col min="14" max="14" width="8.7109375" style="950" customWidth="1"/>
    <col min="15" max="15" width="3.42578125" style="950" customWidth="1"/>
    <col min="16" max="16" width="7.42578125" style="950" customWidth="1"/>
    <col min="17" max="17" width="7.140625" style="950" customWidth="1"/>
    <col min="18" max="18" width="6.5703125" style="950" customWidth="1"/>
    <col min="19" max="19" width="6.85546875" style="950" customWidth="1"/>
    <col min="20" max="20" width="7.42578125" style="950" customWidth="1"/>
    <col min="21" max="21" width="5.85546875" style="950" customWidth="1"/>
    <col min="22" max="22" width="9" style="950" customWidth="1"/>
    <col min="23" max="16384" width="9.140625" style="950"/>
  </cols>
  <sheetData>
    <row r="1" spans="1:22" ht="15" customHeight="1">
      <c r="A1" s="949">
        <f>IF(B7="Scenario 1",1,IF(B7="Scenario 2",2,IF(B7="Scenario 3",3,IF(B7="Scenario 4",4,5))))</f>
        <v>5</v>
      </c>
    </row>
    <row r="2" spans="1:22" ht="15" customHeight="1">
      <c r="A2" s="950">
        <f>IF(OR(A1=4,A1=5),1,0)</f>
        <v>1</v>
      </c>
    </row>
    <row r="6" spans="1:22" ht="2.25" hidden="1" customHeight="1"/>
    <row r="7" spans="1:22" ht="15" customHeight="1">
      <c r="B7" s="960" t="s">
        <v>205</v>
      </c>
    </row>
    <row r="8" spans="1:22" ht="20.25" customHeight="1">
      <c r="A8" s="952" t="s">
        <v>12</v>
      </c>
      <c r="B8" s="952"/>
      <c r="C8" s="953" t="s">
        <v>79</v>
      </c>
      <c r="D8" s="953"/>
      <c r="E8" s="954" t="s">
        <v>142</v>
      </c>
      <c r="G8" s="955" t="s">
        <v>560</v>
      </c>
      <c r="H8" s="956"/>
      <c r="I8" s="956"/>
      <c r="J8" s="956"/>
      <c r="K8" s="1002">
        <v>2028</v>
      </c>
      <c r="L8" s="1002"/>
      <c r="M8" s="1002"/>
      <c r="N8" s="1002"/>
      <c r="P8" s="957" t="s">
        <v>559</v>
      </c>
      <c r="Q8" s="958"/>
      <c r="R8" s="958"/>
      <c r="S8" s="958"/>
      <c r="T8" s="958"/>
      <c r="U8" s="958"/>
      <c r="V8" s="959"/>
    </row>
    <row r="9" spans="1:22" ht="15">
      <c r="A9" s="895" t="str" cm="1">
        <f t="array" ref="A9:A11">IF(Dashboard!$A$1=1,_xlfn._xlws.FILTER('Opex PVC'!$A$4:$A$7,'Opex PVC'!B4:B7),IF(Dashboard!$A$1=2,_xlfn._xlws.FILTER('Opex PVC'!$A$25:$A$28,'Opex PVC'!$B$25:$B$28),IF(Dashboard!$A$1=3,_xlfn._xlws.FILTER('Opex PVC'!$A$46:$A$47,'Opex PVC'!$B$46:$B$47),IF(OR(Dashboard!$A$1=4,Dashboard!$A$1=5),_xlfn._xlws.FILTER('Opex PVC'!$A$65:$A$67,'Opex PVC'!$B$65:$B$67)))))</f>
        <v>Ethylene</v>
      </c>
      <c r="B9" s="895"/>
      <c r="C9" s="946">
        <f>IFERROR(IF(Dashboard!$A$1=1,INDEX('Opex PVC'!$B$4:$C$7,MATCH(Dashboard!$A9,'Opex PVC'!$A$4:$A$7,0),MATCH(Dashboard!C$8,'Opex PVC'!$B$3:$C$3,0)),IF(Dashboard!$A$1=2,INDEX('Opex PVC'!$B$25:$C$29,MATCH(Dashboard!$A9,'Opex PVC'!$A$25:$A$29,0),MATCH(Dashboard!C$8,'Opex PVC'!$B$24:$C$24,0)),IF(Dashboard!$A$1=3,INDEX('Opex PVC'!$B$46:$C$48,MATCH(Dashboard!$A9,'Opex PVC'!$A$46:$A$48,0),MATCH(Dashboard!C$8,'Opex PVC'!$B$45:$C$45,0)),IF(OR(Dashboard!$A$1=4,Dashboard!$A$1=5),INDEX('Opex PVC'!$B$65:$C$67,MATCH(Dashboard!$A9,'Opex PVC'!$A$65:$A$67,0),MATCH(Dashboard!C$8,'Opex PVC'!$B$64:$C$64,0)))))),"")</f>
        <v>161200</v>
      </c>
      <c r="D9" s="946"/>
      <c r="E9" s="947">
        <f>IFERROR(IF(Dashboard!$A$1=1,INDEX('Opex PVC'!$B$4:$C$7,MATCH(Dashboard!$A9,'Opex PVC'!$A$4:$A$7,0),MATCH(Dashboard!E$8,'Opex PVC'!$B$3:$C$3,0)),IF(Dashboard!$A$1=2,INDEX('Opex PVC'!$B$25:$C$29,MATCH(Dashboard!$A9,'Opex PVC'!$A$25:$A$29,0),MATCH(Dashboard!E$8,'Opex PVC'!$B$24:$C$24,0)),IF(Dashboard!$A$1=3,INDEX('Opex PVC'!$B$46:$C$48,MATCH(Dashboard!$A9,'Opex PVC'!$A$46:$A$48,0),MATCH(Dashboard!E$8,'Opex PVC'!$B$45:$C$45,0)),IF(OR(Dashboard!$A$1=4,Dashboard!$A$1=5),INDEX('Opex PVC'!$B$65:$C$67,MATCH(Dashboard!$A9,'Opex PVC'!$A$65:$A$67,0),MATCH(Dashboard!E$8,'Opex PVC'!$B$64:$C$64,0)))))),"")</f>
        <v>38499.365486230745</v>
      </c>
    </row>
    <row r="10" spans="1:22" ht="15">
      <c r="A10" s="895" t="str">
        <v xml:space="preserve">Chlorine </v>
      </c>
      <c r="B10" s="895"/>
      <c r="C10" s="946">
        <f>IFERROR(IF(Dashboard!$A$1=1,INDEX('Opex PVC'!$B$4:$C$7,MATCH(Dashboard!$A10,'Opex PVC'!$A$4:$A$7,0),MATCH(Dashboard!C$8,'Opex PVC'!$B$3:$C$3,0)),IF(Dashboard!$A$1=2,INDEX('Opex PVC'!$B$25:$C$29,MATCH(Dashboard!$A10,'Opex PVC'!$A$25:$A$29,0),MATCH(Dashboard!C$8,'Opex PVC'!$B$24:$C$24,0)),IF(Dashboard!$A$1=3,INDEX('Opex PVC'!$B$46:$C$48,MATCH(Dashboard!$A10,'Opex PVC'!$A$46:$A$48,0),MATCH(Dashboard!C$8,'Opex PVC'!$B$45:$C$45,0)),IF(OR(Dashboard!$A$1=4,Dashboard!$A$1=5),INDEX('Opex PVC'!$B$65:$C$67,MATCH(Dashboard!$A10,'Opex PVC'!$A$65:$A$67,0),MATCH(Dashboard!C$8,'Opex PVC'!$B$64:$C$64,0)))))),"")</f>
        <v>206500</v>
      </c>
      <c r="D10" s="946"/>
      <c r="E10" s="947">
        <f>IFERROR(IF(Dashboard!$A$1=1,INDEX('Opex PVC'!$B$4:$C$7,MATCH(Dashboard!$A10,'Opex PVC'!$A$4:$A$7,0),MATCH(Dashboard!E$8,'Opex PVC'!$B$3:$C$3,0)),IF(Dashboard!$A$1=2,INDEX('Opex PVC'!$B$25:$C$29,MATCH(Dashboard!$A10,'Opex PVC'!$A$25:$A$29,0),MATCH(Dashboard!E$8,'Opex PVC'!$B$24:$C$24,0)),IF(Dashboard!$A$1=3,INDEX('Opex PVC'!$B$46:$C$48,MATCH(Dashboard!$A10,'Opex PVC'!$A$46:$A$48,0),MATCH(Dashboard!E$8,'Opex PVC'!$B$45:$C$45,0)),IF(OR(Dashboard!$A$1=4,Dashboard!$A$1=5),INDEX('Opex PVC'!$B$65:$C$67,MATCH(Dashboard!$A10,'Opex PVC'!$A$65:$A$67,0),MATCH(Dashboard!E$8,'Opex PVC'!$B$64:$C$64,0)))))),"")</f>
        <v>5900</v>
      </c>
    </row>
    <row r="11" spans="1:22" ht="15">
      <c r="A11" s="895" t="str">
        <v>Oxygen</v>
      </c>
      <c r="B11" s="895"/>
      <c r="C11" s="946">
        <f>IFERROR(IF(Dashboard!$A$1=1,INDEX('Opex PVC'!$B$4:$C$7,MATCH(Dashboard!$A11,'Opex PVC'!$A$4:$A$7,0),MATCH(Dashboard!C$8,'Opex PVC'!$B$3:$C$3,0)),IF(Dashboard!$A$1=2,INDEX('Opex PVC'!$B$25:$C$29,MATCH(Dashboard!$A11,'Opex PVC'!$A$25:$A$29,0),MATCH(Dashboard!C$8,'Opex PVC'!$B$24:$C$24,0)),IF(Dashboard!$A$1=3,INDEX('Opex PVC'!$B$46:$C$48,MATCH(Dashboard!$A11,'Opex PVC'!$A$46:$A$48,0),MATCH(Dashboard!C$8,'Opex PVC'!$B$45:$C$45,0)),IF(OR(Dashboard!$A$1=4,Dashboard!$A$1=5),INDEX('Opex PVC'!$B$65:$C$67,MATCH(Dashboard!$A11,'Opex PVC'!$A$65:$A$67,0),MATCH(Dashboard!C$8,'Opex PVC'!$B$64:$C$64,0)))))),"")</f>
        <v>49000</v>
      </c>
      <c r="D11" s="946"/>
      <c r="E11" s="947">
        <f>IFERROR(IF(Dashboard!$A$1=1,INDEX('Opex PVC'!$B$4:$C$7,MATCH(Dashboard!$A11,'Opex PVC'!$A$4:$A$7,0),MATCH(Dashboard!E$8,'Opex PVC'!$B$3:$C$3,0)),IF(Dashboard!$A$1=2,INDEX('Opex PVC'!$B$25:$C$29,MATCH(Dashboard!$A11,'Opex PVC'!$A$25:$A$29,0),MATCH(Dashboard!E$8,'Opex PVC'!$B$24:$C$24,0)),IF(Dashboard!$A$1=3,INDEX('Opex PVC'!$B$46:$C$48,MATCH(Dashboard!$A11,'Opex PVC'!$A$46:$A$48,0),MATCH(Dashboard!E$8,'Opex PVC'!$B$45:$C$45,0)),IF(OR(Dashboard!$A$1=4,Dashboard!$A$1=5),INDEX('Opex PVC'!$B$65:$C$67,MATCH(Dashboard!$A11,'Opex PVC'!$A$65:$A$67,0),MATCH(Dashboard!E$8,'Opex PVC'!$B$64:$C$64,0)))))),"")</f>
        <v>5550</v>
      </c>
    </row>
    <row r="12" spans="1:22" ht="15">
      <c r="A12" s="895"/>
      <c r="B12" s="895"/>
      <c r="C12" s="946" t="str">
        <f>IFERROR(IF(Dashboard!$A$1=1,INDEX('Opex PVC'!$B$4:$C$7,MATCH(Dashboard!$A12,'Opex PVC'!$A$4:$A$7,0),MATCH(Dashboard!C$8,'Opex PVC'!$B$3:$C$3,0)),IF(Dashboard!$A$1=2,INDEX('Opex PVC'!$B$25:$C$29,MATCH(Dashboard!$A12,'Opex PVC'!$A$25:$A$29,0),MATCH(Dashboard!C$8,'Opex PVC'!$B$24:$C$24,0)),IF(Dashboard!$A$1=3,INDEX('Opex PVC'!$B$46:$C$48,MATCH(Dashboard!$A12,'Opex PVC'!$A$46:$A$48,0),MATCH(Dashboard!C$8,'Opex PVC'!$B$45:$C$45,0)),IF(OR(Dashboard!$A$1=4,Dashboard!$A$1=5),INDEX('Opex PVC'!$B$65:$C$67,MATCH(Dashboard!$A12,'Opex PVC'!$A$65:$A$67,0),MATCH(Dashboard!C$8,'Opex PVC'!$B$64:$C$64,0)))))),"")</f>
        <v/>
      </c>
      <c r="D12" s="946"/>
      <c r="E12" s="947" t="str">
        <f>IFERROR(IF(Dashboard!$A$1=1,INDEX('Opex PVC'!$B$4:$C$7,MATCH(Dashboard!$A12,'Opex PVC'!$A$4:$A$7,0),MATCH(Dashboard!E$8,'Opex PVC'!$B$3:$C$3,0)),IF(Dashboard!$A$1=2,INDEX('Opex PVC'!$B$25:$C$29,MATCH(Dashboard!$A12,'Opex PVC'!$A$25:$A$29,0),MATCH(Dashboard!E$8,'Opex PVC'!$B$24:$C$24,0)),IF(Dashboard!$A$1=3,INDEX('Opex PVC'!$B$46:$C$48,MATCH(Dashboard!$A12,'Opex PVC'!$A$46:$A$48,0),MATCH(Dashboard!E$8,'Opex PVC'!$B$45:$C$45,0)),IF(OR(Dashboard!$A$1=4,Dashboard!$A$1=5),INDEX('Opex PVC'!$B$65:$C$67,MATCH(Dashboard!$A12,'Opex PVC'!$A$65:$A$67,0),MATCH(Dashboard!E$8,'Opex PVC'!$B$64:$C$64,0)))))),"")</f>
        <v/>
      </c>
    </row>
    <row r="13" spans="1:22" ht="15">
      <c r="A13" s="895" t="str">
        <f>IF(OR($A$1=1,$A$1=2,$A$1=3),"","Propylene")</f>
        <v>Propylene</v>
      </c>
      <c r="B13" s="895"/>
      <c r="C13" s="946">
        <f>IF(OR($A$1=1,$A$1=2,$A$1=3),"",INDEX(Scenario!$C$3:$C$4,MATCH($A13,Scenario!B$3:B$4,0)))</f>
        <v>91750</v>
      </c>
      <c r="D13" s="946"/>
      <c r="E13" s="947">
        <f>IF(OR($A$1=1,$A$1=2,$A$1=3),"",INDEX(Scenario!$D$3:$D$4,MATCH($A13,Scenario!B$3:B$4,0)))</f>
        <v>52578.253724148555</v>
      </c>
      <c r="I13" s="950" t="str">
        <f>IFERROR(IFERROR(INDEX(('Opex PVC'!$B$4:$C$7,'Opex PVC'!$B$25:$C$28,'Opex PVC'!$B$46:$C$47,'Opex PVC'!$B$65:$C$67),MATCH(Dashboard!$F13,'Opex PVC'!$A$4:$A$7,0),MATCH(Dashboard!E$8,'Opex PVC'!$B$3:$C$3,0),$A$1),INDEX('Opex PVC'!$B$46:$B$47,MATCH(Dashboard!F13,'Opex PVC'!$A$46:$A$47,0))),"")</f>
        <v/>
      </c>
    </row>
    <row r="14" spans="1:22" ht="15">
      <c r="A14" s="895" t="str">
        <f>IF(OR($A$1=1,$A$1=2,$A$1=3),"","Benzene")</f>
        <v>Benzene</v>
      </c>
      <c r="B14" s="895"/>
      <c r="C14" s="946">
        <f>IF(OR($A$1=1,$A$1=2,$A$1=3),"",INDEX(Scenario!$C$3:$C$4,MATCH($A14,Scenario!B$3:B$4,0)))</f>
        <v>164000</v>
      </c>
      <c r="D14" s="946"/>
      <c r="E14" s="947">
        <f>IF(OR($A$1=1,$A$1=2,$A$1=3),"",INDEX(Scenario!$D$3:$D$4,MATCH($A14,Scenario!B$3:B$4,0)))</f>
        <v>49804.452380952382</v>
      </c>
    </row>
    <row r="15" spans="1:22" ht="15">
      <c r="B15" s="851"/>
      <c r="C15" s="852"/>
      <c r="D15" s="853"/>
      <c r="E15" s="853"/>
    </row>
    <row r="18" spans="1:22" ht="15" customHeight="1"/>
    <row r="19" spans="1:22" ht="18">
      <c r="A19" s="962" t="s">
        <v>569</v>
      </c>
      <c r="B19" s="962"/>
      <c r="C19" s="962"/>
      <c r="D19" s="962"/>
      <c r="E19" s="962"/>
      <c r="F19" s="951"/>
      <c r="G19" s="957" t="s">
        <v>558</v>
      </c>
      <c r="H19" s="957"/>
      <c r="I19" s="957"/>
      <c r="J19" s="957"/>
      <c r="K19" s="957"/>
      <c r="L19" s="957"/>
      <c r="M19" s="957"/>
      <c r="N19" s="957"/>
      <c r="P19" s="957" t="s">
        <v>107</v>
      </c>
      <c r="Q19" s="958"/>
      <c r="R19" s="958"/>
      <c r="S19" s="958"/>
      <c r="T19" s="958"/>
      <c r="U19" s="958"/>
      <c r="V19" s="959"/>
    </row>
    <row r="20" spans="1:22">
      <c r="A20" s="965" t="s">
        <v>281</v>
      </c>
      <c r="B20" s="965"/>
      <c r="C20" s="965"/>
      <c r="D20" s="966" t="s">
        <v>592</v>
      </c>
      <c r="E20" s="967" t="s">
        <v>566</v>
      </c>
    </row>
    <row r="21" spans="1:22">
      <c r="A21" s="963" t="s">
        <v>587</v>
      </c>
      <c r="B21" s="968"/>
      <c r="C21" s="969"/>
      <c r="D21" s="964"/>
      <c r="E21" s="964"/>
    </row>
    <row r="22" spans="1:22">
      <c r="A22" s="970" t="s">
        <v>576</v>
      </c>
      <c r="B22" s="971"/>
      <c r="C22" s="972"/>
      <c r="D22" s="973">
        <f>'Net Change in Margin'!B47</f>
        <v>5728.2657782086444</v>
      </c>
      <c r="E22" s="973">
        <f>'Net Change in Margin'!D47</f>
        <v>4576.8551324502059</v>
      </c>
    </row>
    <row r="23" spans="1:22" ht="11.25" customHeight="1">
      <c r="A23" s="795"/>
      <c r="B23" s="795"/>
      <c r="C23" s="795"/>
      <c r="D23" s="795"/>
      <c r="E23" s="795"/>
    </row>
    <row r="24" spans="1:22">
      <c r="A24" s="963" t="s">
        <v>589</v>
      </c>
      <c r="B24" s="968"/>
      <c r="C24" s="969"/>
      <c r="D24" s="964"/>
      <c r="E24" s="964"/>
    </row>
    <row r="25" spans="1:22">
      <c r="A25" s="970" t="s">
        <v>576</v>
      </c>
      <c r="B25" s="971"/>
      <c r="C25" s="972"/>
      <c r="D25" s="973">
        <f>'Net Change in Margin'!B61</f>
        <v>4320.9939501891349</v>
      </c>
      <c r="E25" s="973">
        <f>'Net Change in Margin'!D61</f>
        <v>3169.5833044307001</v>
      </c>
    </row>
    <row r="26" spans="1:22" ht="10.5" customHeight="1">
      <c r="A26" s="795"/>
      <c r="B26" s="795"/>
      <c r="C26" s="795"/>
      <c r="D26" s="795"/>
      <c r="E26" s="795"/>
    </row>
    <row r="27" spans="1:22">
      <c r="A27" s="963" t="s">
        <v>590</v>
      </c>
      <c r="B27" s="968"/>
      <c r="C27" s="969"/>
      <c r="D27" s="964"/>
      <c r="E27" s="964"/>
    </row>
    <row r="28" spans="1:22">
      <c r="A28" s="970" t="s">
        <v>576</v>
      </c>
      <c r="B28" s="971"/>
      <c r="C28" s="972"/>
      <c r="D28" s="973">
        <f>'Net Change in Margin'!B75</f>
        <v>4172.9275551973769</v>
      </c>
      <c r="E28" s="973">
        <f>'Net Change in Margin'!D75</f>
        <v>3021.5169094389366</v>
      </c>
    </row>
    <row r="29" spans="1:22" ht="9.75" customHeight="1">
      <c r="A29" s="795"/>
      <c r="B29" s="795"/>
      <c r="C29" s="795"/>
      <c r="D29" s="795"/>
      <c r="E29" s="795"/>
    </row>
    <row r="30" spans="1:22">
      <c r="A30" s="963" t="s">
        <v>591</v>
      </c>
      <c r="B30" s="968"/>
      <c r="C30" s="969"/>
      <c r="D30" s="964"/>
      <c r="E30" s="964"/>
    </row>
    <row r="31" spans="1:22">
      <c r="A31" s="970" t="s">
        <v>576</v>
      </c>
      <c r="B31" s="971"/>
      <c r="C31" s="972"/>
      <c r="D31" s="973">
        <f>'Net Change in Margin'!B87</f>
        <v>2765.6557271778674</v>
      </c>
      <c r="E31" s="973">
        <f>'Net Change in Margin'!D87</f>
        <v>1614.2450814194308</v>
      </c>
    </row>
  </sheetData>
  <mergeCells count="2">
    <mergeCell ref="K8:L8"/>
    <mergeCell ref="M8:N8"/>
  </mergeCells>
  <conditionalFormatting sqref="A19:E22 A24:E25 A27:E28 A30:E31">
    <cfRule type="expression" dxfId="3" priority="9">
      <formula>$A$2=0</formula>
    </cfRule>
  </conditionalFormatting>
  <conditionalFormatting sqref="C15">
    <cfRule type="dataBar" priority="8">
      <dataBar>
        <cfvo type="min"/>
        <cfvo type="max"/>
        <color rgb="FFFFB628"/>
      </dataBar>
      <extLst>
        <ext xmlns:x14="http://schemas.microsoft.com/office/spreadsheetml/2009/9/main" uri="{B025F937-C7B1-47D3-B67F-A62EFF666E3E}">
          <x14:id>{B415694A-A06D-4854-BED8-105412171046}</x14:id>
        </ext>
      </extLst>
    </cfRule>
  </conditionalFormatting>
  <conditionalFormatting sqref="D15:E15">
    <cfRule type="dataBar" priority="5">
      <dataBar>
        <cfvo type="min"/>
        <cfvo type="max"/>
        <color rgb="FFFFB628"/>
      </dataBar>
      <extLst>
        <ext xmlns:x14="http://schemas.microsoft.com/office/spreadsheetml/2009/9/main" uri="{B025F937-C7B1-47D3-B67F-A62EFF666E3E}">
          <x14:id>{C53ECD1B-D182-4687-9469-605DF484B8E4}</x14:id>
        </ext>
      </extLst>
    </cfRule>
    <cfRule type="dataBar" priority="7">
      <dataBar>
        <cfvo type="min"/>
        <cfvo type="max"/>
        <color rgb="FFD6007B"/>
      </dataBar>
      <extLst>
        <ext xmlns:x14="http://schemas.microsoft.com/office/spreadsheetml/2009/9/main" uri="{B025F937-C7B1-47D3-B67F-A62EFF666E3E}">
          <x14:id>{DF0285CA-5F04-43E8-A2C6-ADEEF53C3E62}</x14:id>
        </ext>
      </extLst>
    </cfRule>
  </conditionalFormatting>
  <dataValidations count="1">
    <dataValidation type="list" allowBlank="1" showInputMessage="1" showErrorMessage="1" sqref="B7" xr:uid="{DAED34D6-05FA-4E64-960E-4F33A829657B}">
      <formula1>"Scenario 1,Scenario 2,Scenario 3, Scenario 4,Scenario 5"</formula1>
    </dataValidation>
  </dataValidation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415694A-A06D-4854-BED8-105412171046}">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C15</xm:sqref>
        </x14:conditionalFormatting>
        <x14:conditionalFormatting xmlns:xm="http://schemas.microsoft.com/office/excel/2006/main">
          <x14:cfRule type="dataBar" id="{C53ECD1B-D182-4687-9469-605DF484B8E4}">
            <x14:dataBar minLength="0" maxLength="100" border="1" negativeBarBorderColorSameAsPositive="0">
              <x14:cfvo type="autoMin"/>
              <x14:cfvo type="autoMax"/>
              <x14:borderColor rgb="FFFFB628"/>
              <x14:negativeFillColor rgb="FFFF0000"/>
              <x14:negativeBorderColor rgb="FFFF0000"/>
              <x14:axisColor rgb="FF000000"/>
            </x14:dataBar>
          </x14:cfRule>
          <x14:cfRule type="dataBar" id="{DF0285CA-5F04-43E8-A2C6-ADEEF53C3E62}">
            <x14:dataBar minLength="0" maxLength="100" border="1" negativeBarBorderColorSameAsPositive="0">
              <x14:cfvo type="autoMin"/>
              <x14:cfvo type="autoMax"/>
              <x14:borderColor rgb="FFD6007B"/>
              <x14:negativeFillColor rgb="FFFF0000"/>
              <x14:negativeBorderColor rgb="FFFF0000"/>
              <x14:axisColor rgb="FF000000"/>
            </x14:dataBar>
          </x14:cfRule>
          <xm:sqref>D15:E15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2AAF785-5A14-4E14-BEF3-DA6CA2264174}">
          <x14:formula1>
            <xm:f>'Cashflow 350 KTPA'!$XFD$1:$XFD$23</xm:f>
          </x14:formula1>
          <xm:sqref>K8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1B96-906B-4D5C-9EAF-606053296A62}">
  <sheetPr codeName="Sheet4"/>
  <dimension ref="A1:J22"/>
  <sheetViews>
    <sheetView showGridLines="0" workbookViewId="0">
      <selection activeCell="I18" sqref="I18"/>
    </sheetView>
  </sheetViews>
  <sheetFormatPr defaultRowHeight="15"/>
  <cols>
    <col min="1" max="1" width="32.5703125" bestFit="1" customWidth="1"/>
    <col min="2" max="2" width="12.7109375" bestFit="1" customWidth="1"/>
    <col min="4" max="4" width="28.42578125" bestFit="1" customWidth="1"/>
    <col min="5" max="5" width="9.7109375" bestFit="1" customWidth="1"/>
    <col min="7" max="7" width="16.140625" bestFit="1" customWidth="1"/>
    <col min="10" max="10" width="23.28515625" bestFit="1" customWidth="1"/>
    <col min="11" max="11" width="51.140625" bestFit="1" customWidth="1"/>
    <col min="12" max="12" width="26.5703125" customWidth="1"/>
    <col min="13" max="13" width="24.85546875" customWidth="1"/>
  </cols>
  <sheetData>
    <row r="1" spans="1:10">
      <c r="A1">
        <f>Dashboard!A1</f>
        <v>5</v>
      </c>
      <c r="D1" s="850"/>
    </row>
    <row r="2" spans="1:10">
      <c r="A2" s="854" t="str" cm="1">
        <f t="array" ref="A2:B5">IF(OR(A1=1,A1=2,A1=3),D10:E15,D18:E21)</f>
        <v>Capex</v>
      </c>
      <c r="B2" s="855" t="str">
        <v>INR Crore</v>
      </c>
      <c r="D2" s="854" t="s">
        <v>556</v>
      </c>
      <c r="E2" s="855" t="s">
        <v>550</v>
      </c>
      <c r="G2" s="854" t="s">
        <v>26</v>
      </c>
    </row>
    <row r="3" spans="1:10">
      <c r="A3" s="856" t="str">
        <v>CAPEX PVC OPTION 1</v>
      </c>
      <c r="B3" s="897">
        <v>4159.4497678079997</v>
      </c>
      <c r="D3" s="856" t="s">
        <v>27</v>
      </c>
      <c r="E3" s="897">
        <f>IF($A$1=1,INDEX('Cashflow 350 KTPA'!$C$10:$Z$30,MATCH(D3,'Cashflow 350 KTPA'!$B$10:$B$30,0),MATCH(Dashboard!$K$8,'Cashflow 350 KTPA'!$C$5:$Z$5,0)),IF($A$1=2,INDEX('Cashflow 500 KTPA'!$C$10:$Z$31,MATCH(D3,'Cashflow 500 KTPA'!$B$10:$B$31,0),MATCH(Dashboard!$K$8,'Cashflow 500 KTPA'!$C$5:$Z$5,0)),IF($A$1=3,INDEX('Cashflow 500KT EDC VCM Cracking'!$C$10:$Z$29,MATCH(D3,'Cashflow 500KT EDC VCM Cracking'!$B$10:$B$29,0),MATCH(Dashboard!$K$8,'Cashflow 500KT EDC VCM Cracking'!$C$5:$Z$5,0)),IF($A$1=4,INDEX('Cashflow - PVC Phenol Propane'!$C$13:$Z$31,MATCH(D3,'Cashflow - PVC Phenol Propane'!$B$13:$B$31,0),MATCH(Dashboard!$K$8,'Cashflow - PVC Phenol Propane'!$C$5:$Z$5,0)),IF($A$1=5,INDEX('Cashflow - PVC Phenol Ethane'!$C$14:$Z$33,MATCH(D3,'Cashflow - PVC Phenol Ethane'!$B$14:$B$33,0),MATCH(Dashboard!$K$8,'Cashflow - PVC Phenol Ethane'!$C$5:$Z$5,0)))))))</f>
        <v>5166.1587522812979</v>
      </c>
      <c r="F3" s="883"/>
      <c r="G3" s="882" t="str">
        <f>IF(A1=1,'Opex PVC'!A1,IF(Sheet3!A1=2,'Opex PVC'!A22,IF(Sheet3!A1=3,'Opex PVC'!A43,IF(Sheet3!A1=4,'Opex PVC'!A62&amp;" (Propane Furnace Addition)",IF(Sheet3!A1=5,'Opex PVC'!A62&amp;" (Ethane Furnace Addition)")))))</f>
        <v>Capacity for 350 KTPA PVC Resin and 200 KTPA Phenol + 123 KTPA Acetone-Propane Furnace (Ethane Furnace Addition)</v>
      </c>
      <c r="I3" s="850"/>
    </row>
    <row r="4" spans="1:10">
      <c r="A4" t="str">
        <v>CAPEX PHENOL OPTION 1</v>
      </c>
      <c r="B4" s="898">
        <v>1768.675</v>
      </c>
      <c r="D4" t="s">
        <v>30</v>
      </c>
      <c r="E4" s="898">
        <f>IF($A$1=1,INDEX('Cashflow 350 KTPA'!$C$10:$Z$30,MATCH(D4,'Cashflow 350 KTPA'!$B$10:$B$30,0),MATCH(Dashboard!$K$8,'Cashflow 350 KTPA'!$C$5:$Z$5,0)),IF($A$1=2,INDEX('Cashflow 500 KTPA'!$C$10:$Z$31,MATCH(D4,'Cashflow 500 KTPA'!$B$10:$B$31,0),MATCH(Dashboard!$K$8,'Cashflow 500 KTPA'!$C$5:$Z$5,0)),IF($A$1=3,INDEX('Cashflow 500KT EDC VCM Cracking'!$C$10:$Z$29,MATCH(D4,'Cashflow 500KT EDC VCM Cracking'!$B$10:$B$29,0),MATCH(Dashboard!$K$8,'Cashflow 500KT EDC VCM Cracking'!$C$5:$Z$5,0)),IF($A$1=4,INDEX('Cashflow - PVC Phenol Propane'!$C$13:$Z$31,MATCH(D4,'Cashflow - PVC Phenol Propane'!$B$13:$B$31,0),MATCH(Dashboard!$K$8,'Cashflow - PVC Phenol Propane'!$C$5:$Z$5,0)),IF($A$1=5,INDEX('Cashflow - PVC Phenol Ethane'!$C$14:$Z$33,MATCH(D4,'Cashflow - PVC Phenol Ethane'!$B$14:$B$33,0),MATCH(Dashboard!$K$8,'Cashflow - PVC Phenol Ethane'!$C$5:$Z$5,0)))))))</f>
        <v>3052.8387271449997</v>
      </c>
      <c r="F4" s="883"/>
    </row>
    <row r="5" spans="1:10">
      <c r="A5" s="856" t="str">
        <v>ETHANE FURNACE ADDITION</v>
      </c>
      <c r="B5" s="897">
        <v>2664</v>
      </c>
      <c r="D5" s="856" t="s">
        <v>392</v>
      </c>
      <c r="E5" s="897">
        <f>IF($A$1=1,INDEX('Cashflow 350 KTPA'!$C$10:$Z$30,MATCH(D5,'Cashflow 350 KTPA'!$B$10:$B$30,0),MATCH(Dashboard!$K$8,'Cashflow 350 KTPA'!$C$5:$Z$5,0)),IF($A$1=2,INDEX('Cashflow 500 KTPA'!$C$10:$Z$31,MATCH(D5,'Cashflow 500 KTPA'!$B$10:$B$31,0),MATCH(Dashboard!$K$8,'Cashflow 500 KTPA'!$C$5:$Z$5,0)),IF($A$1=3,INDEX('Cashflow 500KT EDC VCM Cracking'!$C$10:$Z$29,MATCH(D5,'Cashflow 500KT EDC VCM Cracking'!$B$10:$B$29,0),MATCH(Dashboard!$K$8,'Cashflow 500KT EDC VCM Cracking'!$C$5:$Z$5,0)),IF($A$1=4,INDEX('Cashflow - PVC Phenol Propane'!$C$13:$Z$31,MATCH(D5,'Cashflow - PVC Phenol Propane'!$B$13:$B$31,0),MATCH(Dashboard!$K$8,'Cashflow - PVC Phenol Propane'!$C$5:$Z$5,0)),IF($A$1=5,INDEX('Cashflow - PVC Phenol Ethane'!$C$14:$Z$33,MATCH(D5,'Cashflow - PVC Phenol Ethane'!$B$14:$B$33,0),MATCH(Dashboard!$K$8,'Cashflow - PVC Phenol Ethane'!$C$5:$Z$5,0)))))))</f>
        <v>2113.3200251362982</v>
      </c>
      <c r="F5" s="883"/>
      <c r="G5" s="854" t="s">
        <v>554</v>
      </c>
    </row>
    <row r="6" spans="1:10">
      <c r="B6" s="898"/>
      <c r="D6" t="s">
        <v>32</v>
      </c>
      <c r="E6" s="898">
        <f>IF($A$1=1,INDEX('Cashflow 350 KTPA'!$C$10:$Z$30,MATCH(D6,'Cashflow 350 KTPA'!$B$10:$B$30,0),MATCH(Dashboard!$K$8,'Cashflow 350 KTPA'!$C$5:$Z$5,0)),IF($A$1=2,INDEX('Cashflow 500 KTPA'!$C$10:$Z$31,MATCH(D6,'Cashflow 500 KTPA'!$B$10:$B$31,0),MATCH(Dashboard!$K$8,'Cashflow 500 KTPA'!$C$5:$Z$5,0)),IF($A$1=3,INDEX('Cashflow 500KT EDC VCM Cracking'!$C$10:$Z$29,MATCH(D6,'Cashflow 500KT EDC VCM Cracking'!$B$10:$B$29,0),MATCH(Dashboard!$K$8,'Cashflow 500KT EDC VCM Cracking'!$C$5:$Z$5,0)),IF($A$1=4,INDEX('Cashflow - PVC Phenol Propane'!$C$13:$Z$31,MATCH(D6,'Cashflow - PVC Phenol Propane'!$B$13:$B$31,0),MATCH(Dashboard!$K$8,'Cashflow - PVC Phenol Propane'!$C$5:$Z$5,0)),IF($A$1=5,INDEX('Cashflow - PVC Phenol Ethane'!$C$14:$Z$33,MATCH(D6,'Cashflow - PVC Phenol Ethane'!$B$14:$B$33,0),MATCH(Dashboard!$K$8,'Cashflow - PVC Phenol Ethane'!$C$5:$Z$5,0)))))))</f>
        <v>2113.3200251362982</v>
      </c>
      <c r="F6" s="883"/>
      <c r="G6" s="881" t="str">
        <f>TEXT(-ROUND(IF(A1=1,'Cashflow 350 KTPA'!G9,IF(Sheet3!A1=2,'Cashflow 500 KTPA'!G9,IF(Sheet3!A1=3,'Cashflow 500KT EDC VCM Cracking'!G9,IF(Sheet3!A1=4,'Cashflow - PVC Phenol Propane'!G12,IF(Sheet3!A1=5,'Cashflow - PVC Phenol Ethane'!G14))))),0),"0,00")&amp;" INR Cr"</f>
        <v>8,592 INR Cr</v>
      </c>
    </row>
    <row r="7" spans="1:10">
      <c r="A7" s="856"/>
      <c r="B7" s="897"/>
      <c r="E7" s="898"/>
    </row>
    <row r="8" spans="1:10">
      <c r="B8" s="898"/>
      <c r="E8" s="898"/>
      <c r="G8" s="855" t="s">
        <v>36</v>
      </c>
    </row>
    <row r="9" spans="1:10">
      <c r="B9" s="898"/>
      <c r="D9" t="s">
        <v>557</v>
      </c>
      <c r="E9" s="898"/>
      <c r="G9" s="881" t="str">
        <f>TEXT(ROUND(IF(A1=1,'Cashflow 350 KTPA'!G33,IF(Sheet3!A1=2,'Cashflow 500 KTPA'!G34,IF(Sheet3!A1=3,'Cashflow 500KT EDC VCM Cracking'!G32,IF(Sheet3!A1=4,'Cashflow - PVC Phenol Propane'!G37,IF(Sheet3!A1=5,'Cashflow - PVC Phenol Ethane'!G39))))),0),"0,00")&amp;" INR Cr"</f>
        <v>19,091 INR Cr</v>
      </c>
    </row>
    <row r="10" spans="1:10">
      <c r="A10" s="854" t="s">
        <v>551</v>
      </c>
      <c r="B10" s="899" t="s">
        <v>118</v>
      </c>
      <c r="D10" s="854" t="s">
        <v>549</v>
      </c>
      <c r="E10" s="899" t="s">
        <v>118</v>
      </c>
    </row>
    <row r="11" spans="1:10">
      <c r="A11" s="856" t="s">
        <v>11</v>
      </c>
      <c r="B11" s="897">
        <f>IF($A$1=1,INDEX('Opex PVC'!$E$2:$E$20,MATCH(Sheet3!A11,'Opex PVC'!$A$2:$A$20,0)),IF($A$1=2,INDEX('Opex PVC'!$E$23:$E$41,MATCH(Sheet3!A11,'Opex PVC'!$A$23:$A$41,0)),IF($A$1=3,INDEX('Opex PVC'!$E$44:$E$60,MATCH(Sheet3!A11,'Opex PVC'!$A$44:$A$60,0)),IF($A$1=4,INDEX('Cashflow - PVC Phenol Propane'!$J$20:$J$27,MATCH(Sheet3!A11,'Cashflow - PVC Phenol Propane'!$B$20:$B$27,0)),IF($A$1=5,INDEX('Cashflow - PVC Phenol Ethane'!$J$22:$J$29,MATCH(Sheet3!A11,'Cashflow - PVC Phenol Ethane'!$B$22:$B$29,0)))))))</f>
        <v>3144.9225283125538</v>
      </c>
      <c r="D11" s="856" t="s">
        <v>54</v>
      </c>
      <c r="E11" s="897" t="str" cm="1">
        <f t="array" ref="E11">IFERROR(INDEX((Capex!$D$3:$D$21,Capex!$H$3:$H$21,Capex!$L$3:$L$21),MATCH(Sheet3!D11,Capex!$B$3:$B$21,0),,$A$1),"")</f>
        <v/>
      </c>
      <c r="G11" s="854" t="s">
        <v>37</v>
      </c>
    </row>
    <row r="12" spans="1:10">
      <c r="A12" t="s">
        <v>12</v>
      </c>
      <c r="B12" s="898">
        <f>IF($A$1=1,INDEX('Opex PVC'!$E$2:$E$20,MATCH(Sheet3!A12,'Opex PVC'!$A$2:$A$20,0)),IF($A$1=2,INDEX('Opex PVC'!$E$23:$E$41,MATCH(Sheet3!A12,'Opex PVC'!$A$23:$A$41,0)),IF($A$1=3,INDEX('Opex PVC'!$E$44:$E$60,MATCH(Sheet3!A12,'Opex PVC'!$A$44:$A$60,0)),IF($A$1=4,INDEX('Cashflow - PVC Phenol Propane'!$J$20:$J$27,MATCH(Sheet3!A12,'Cashflow - PVC Phenol Propane'!$B$20:$B$27,0)),IF($A$1=5,INDEX('Cashflow - PVC Phenol Ethane'!$J$22:$J$29,MATCH(Sheet3!A12,'Cashflow - PVC Phenol Ethane'!$B$22:$B$29,0)))))))</f>
        <v>2438.7908600858559</v>
      </c>
      <c r="D12" t="s">
        <v>56</v>
      </c>
      <c r="E12" s="898" t="str" cm="1">
        <f t="array" ref="E12">IFERROR(INDEX((Capex!$D$3:$D$21,Capex!$H$3:$H$21,Capex!$L$3:$L$21),MATCH(Sheet3!D12,Capex!$B$3:$B$21,0),,$A$1),"")</f>
        <v/>
      </c>
      <c r="G12" s="896">
        <f>IF(A1=1,'Cashflow 350 KTPA'!G34,IF(Sheet3!A1=2,'Cashflow 500 KTPA'!G35,IF(Sheet3!A1=3,'Cashflow 500KT EDC VCM Cracking'!G33,IF(Sheet3!A1=4,'Cashflow - PVC Phenol Propane'!G38,IF(Sheet3!A1=5,'Cashflow - PVC Phenol Ethane'!G40)))))</f>
        <v>0.15805805526115613</v>
      </c>
    </row>
    <row r="13" spans="1:10">
      <c r="A13" s="856" t="s">
        <v>14</v>
      </c>
      <c r="B13" s="897">
        <f>IF($A$1=1,INDEX('Opex PVC'!$E$2:$E$20,MATCH(Sheet3!A13,'Opex PVC'!$A$2:$A$20,0)),IF($A$1=2,INDEX('Opex PVC'!$E$23:$E$41,MATCH(Sheet3!A13,'Opex PVC'!$A$23:$A$41,0)),IF($A$1=3,INDEX('Opex PVC'!$E$44:$E$60,MATCH(Sheet3!A13,'Opex PVC'!$A$44:$A$60,0)),IF($A$1=4,INDEX('Cashflow - PVC Phenol Propane'!$J$20:$J$27,MATCH(Sheet3!A13,'Cashflow - PVC Phenol Propane'!$B$20:$B$27,0)),IF($A$1=5,INDEX('Cashflow - PVC Phenol Ethane'!$J$22:$J$29,MATCH(Sheet3!A13,'Cashflow - PVC Phenol Ethane'!$B$22:$B$29,0)))))))</f>
        <v>149.50201821018209</v>
      </c>
      <c r="D13" s="856" t="s">
        <v>64</v>
      </c>
      <c r="E13" s="897" t="str" cm="1">
        <f t="array" ref="E13">IFERROR(INDEX((Capex!$D$3:$D$21,Capex!$H$3:$H$21,Capex!$L$3:$L$21),MATCH(Sheet3!D13,Capex!$B$3:$B$21,0),,$A$1),"")</f>
        <v/>
      </c>
    </row>
    <row r="14" spans="1:10">
      <c r="A14" t="s">
        <v>15</v>
      </c>
      <c r="B14" s="898">
        <f>IF($A$1=1,INDEX('Opex PVC'!$E$2:$E$20,MATCH(Sheet3!A14,'Opex PVC'!$A$2:$A$20,0)),IF($A$1=2,INDEX('Opex PVC'!$E$23:$E$41,MATCH(Sheet3!A14,'Opex PVC'!$A$23:$A$41,0)),IF($A$1=3,INDEX('Opex PVC'!$E$44:$E$60,MATCH(Sheet3!A14,'Opex PVC'!$A$44:$A$60,0)),IF($A$1=4,INDEX('Cashflow - PVC Phenol Propane'!$J$20:$J$27,MATCH(Sheet3!A14,'Cashflow - PVC Phenol Propane'!$B$20:$B$27,0)),IF($A$1=5,INDEX('Cashflow - PVC Phenol Ethane'!$J$22:$J$29,MATCH(Sheet3!A14,'Cashflow - PVC Phenol Ethane'!$B$22:$B$29,0)))))))</f>
        <v>58.772785499999991</v>
      </c>
      <c r="D14" t="s">
        <v>71</v>
      </c>
      <c r="E14" s="898" t="str" cm="1">
        <f t="array" ref="E14">IFERROR(INDEX((Capex!$D$3:$D$21,Capex!$H$3:$H$21,Capex!$L$3:$L$21),MATCH(Sheet3!D14,Capex!$B$3:$B$21,0),,$A$1),"")</f>
        <v/>
      </c>
      <c r="G14" s="855" t="s">
        <v>555</v>
      </c>
      <c r="J14" s="850"/>
    </row>
    <row r="15" spans="1:10">
      <c r="A15" s="856" t="s">
        <v>17</v>
      </c>
      <c r="B15" s="897">
        <f>IF($A$1=1,INDEX('Opex PVC'!$E$2:$E$20,MATCH(Sheet3!A15,'Opex PVC'!$A$2:$A$20,0)),IF($A$1=2,INDEX('Opex PVC'!$E$23:$E$41,MATCH(Sheet3!A15,'Opex PVC'!$A$23:$A$41,0)),IF($A$1=3,INDEX('Opex PVC'!$E$44:$E$60,MATCH(Sheet3!A15,'Opex PVC'!$A$44:$A$60,0)),IF($A$1=4,INDEX('Cashflow - PVC Phenol Propane'!$J$20:$J$27,MATCH(Sheet3!A15,'Cashflow - PVC Phenol Propane'!$B$20:$B$27,0)),IF($A$1=5,INDEX('Cashflow - PVC Phenol Ethane'!$J$22:$J$29,MATCH(Sheet3!A15,'Cashflow - PVC Phenol Ethane'!$B$22:$B$29,0)))))))</f>
        <v>389.06113085477159</v>
      </c>
      <c r="D15" s="856" t="s">
        <v>73</v>
      </c>
      <c r="E15" s="897" t="str" cm="1">
        <f t="array" ref="E15">IFERROR(INDEX((Capex!$D$3:$D$21,Capex!$H$3:$H$21,Capex!$L$3:$L$21),MATCH(Sheet3!D15,Capex!$B$3:$B$21,0),,$A$1),"")</f>
        <v/>
      </c>
      <c r="G15" s="996" t="str">
        <f>ROUND(IF(A1=1,'Cashflow 350 KTPA'!G35,IF(Sheet3!A1=2,'Cashflow 500 KTPA'!G36,IF(Sheet3!A1=3,'Cashflow 500KT EDC VCM Cracking'!G34,IF(Sheet3!A1=4,'Cashflow - PVC Phenol Propane'!G39,IF(Sheet3!A1=5,'Cashflow - PVC Phenol Ethane'!G41))))),1)&amp;" Yrs"</f>
        <v>4 Yrs</v>
      </c>
    </row>
    <row r="16" spans="1:10">
      <c r="A16" t="s">
        <v>20</v>
      </c>
      <c r="B16" s="898">
        <f>IF($A$1=1,INDEX('Opex PVC'!$E$2:$E$20,MATCH(Sheet3!A16,'Opex PVC'!$A$2:$A$20,0)),IF($A$1=2,INDEX('Opex PVC'!$E$23:$E$41,MATCH(Sheet3!A16,'Opex PVC'!$A$23:$A$41,0)),IF($A$1=3,INDEX('Opex PVC'!$E$44:$E$60,MATCH(Sheet3!A16,'Opex PVC'!$A$44:$A$60,0)),IF($A$1=4,INDEX('Cashflow - PVC Phenol Propane'!$J$20:$J$27,MATCH(Sheet3!A16,'Cashflow - PVC Phenol Propane'!$B$20:$B$27,0)),IF($A$1=5,INDEX('Cashflow - PVC Phenol Ethane'!$J$22:$J$29,MATCH(Sheet3!A16,'Cashflow - PVC Phenol Ethane'!$B$22:$B$29,0)))))))</f>
        <v>108.79573366174417</v>
      </c>
      <c r="E16" s="898"/>
      <c r="I16" s="260"/>
    </row>
    <row r="17" spans="1:7">
      <c r="A17" s="856" t="s">
        <v>21</v>
      </c>
      <c r="B17" s="897">
        <f>IF($A$1=1,INDEX('Opex PVC'!$E$2:$E$20,MATCH(Sheet3!A17,'Opex PVC'!$A$2:$A$20,0)),IF($A$1=2,INDEX('Opex PVC'!$E$23:$E$41,MATCH(Sheet3!A17,'Opex PVC'!$A$23:$A$41,0)),IF($A$1=3,INDEX('Opex PVC'!$E$44:$E$60,MATCH(Sheet3!A17,'Opex PVC'!$A$44:$A$60,0)),IF($A$1=4,INDEX('Cashflow - PVC Phenol Propane'!$J$20:$J$27,MATCH(Sheet3!A17,'Cashflow - PVC Phenol Propane'!$B$20:$B$27,0)),IF($A$1=5,INDEX('Cashflow - PVC Phenol Ethane'!$J$22:$J$29,MATCH(Sheet3!A17,'Cashflow - PVC Phenol Ethane'!$B$22:$B$29,0)))))))</f>
        <v>179.3375803381395</v>
      </c>
      <c r="D17" t="s">
        <v>568</v>
      </c>
      <c r="E17" s="898"/>
      <c r="G17" s="997"/>
    </row>
    <row r="18" spans="1:7">
      <c r="A18" t="s">
        <v>30</v>
      </c>
      <c r="B18" s="898">
        <f>IF($A$1=1,INDEX('Opex PVC'!$E$2:$E$20,MATCH(Sheet3!A18,'Opex PVC'!$A$2:$A$20,0)),IF($A$1=2,INDEX('Opex PVC'!$E$23:$E$41,MATCH(Sheet3!A18,'Opex PVC'!$A$23:$A$41,0)),IF($A$1=3,INDEX('Opex PVC'!$E$44:$E$60,MATCH(Sheet3!A18,'Opex PVC'!$A$44:$A$60,0)),IF($A$1=4,INDEX('Cashflow - PVC Phenol Propane'!$J$20:$J$27,MATCH(Sheet3!A18,'Cashflow - PVC Phenol Propane'!$B$20:$B$27,0)),IF($A$1=5,INDEX('Cashflow - PVC Phenol Ethane'!$J$22:$J$29,MATCH(Sheet3!A18,'Cashflow - PVC Phenol Ethane'!$B$22:$B$29,0)))))))</f>
        <v>3324.2601086506934</v>
      </c>
      <c r="D18" s="854" t="s">
        <v>549</v>
      </c>
      <c r="E18" s="899" t="s">
        <v>118</v>
      </c>
    </row>
    <row r="19" spans="1:7">
      <c r="B19" s="898"/>
      <c r="D19" t="s">
        <v>593</v>
      </c>
      <c r="E19" s="898">
        <f>Capex!D21</f>
        <v>4159.4497678079997</v>
      </c>
    </row>
    <row r="20" spans="1:7">
      <c r="A20" s="854" t="s">
        <v>552</v>
      </c>
      <c r="B20" s="899" t="s">
        <v>118</v>
      </c>
      <c r="D20" t="s">
        <v>594</v>
      </c>
      <c r="E20" s="898">
        <f>[6]Capex!$D$22</f>
        <v>1768.675</v>
      </c>
    </row>
    <row r="21" spans="1:7">
      <c r="A21" s="856" t="s">
        <v>553</v>
      </c>
      <c r="B21" s="900">
        <f>IF($A$1=1,'Opex PVC'!E3+'Opex PVC'!E11+'Opex PVC'!E17+'Opex PVC'!E8,IF($A$1=2,'Opex PVC'!E24+'Opex PVC'!E32+'Opex PVC'!E38,IF($A$1=3,'Opex PVC'!E45+'Opex PVC'!E51+'Opex PVC'!E57,IF($A$1=4,'Cashflow - PVC Phenol Propane'!J20+'Cashflow - PVC Phenol Propane'!J21+'Cashflow - PVC Phenol Propane'!J23+'Cashflow - PVC Phenol Propane'!J25,IF($A$1=5,'Cashflow - PVC Phenol Ethane'!J22+'Cashflow - PVC Phenol Ethane'!J23+'Cashflow - PVC Phenol Ethane'!J25+'Cashflow - PVC Phenol Ethane'!J27)))))</f>
        <v>3156.6915894889489</v>
      </c>
      <c r="D21" t="str">
        <f>IF(OR($A$1=1,$A$1=2,$A$1=3),"",IF($A$1=4,"PROPANE FURNACE ADDITION","ETHANE FURNACE ADDITION"))</f>
        <v>ETHANE FURNACE ADDITION</v>
      </c>
      <c r="E21" s="898">
        <f>IF($A$1=4,'Cashflow - PVC Phenol Propane'!G9,'Cashflow - PVC Phenol Ethane'!G9)</f>
        <v>2664</v>
      </c>
      <c r="G21" s="850"/>
    </row>
    <row r="22" spans="1:7">
      <c r="A22" t="s">
        <v>144</v>
      </c>
      <c r="B22" s="901">
        <f>IF($A$1=1,'Opex PVC'!E9+'Opex PVC'!E14,IF($A$1=2,'Opex PVC'!E35+'Opex PVC'!E30,IF($A$1=3,'Opex PVC'!E49+'Opex PVC'!E54,IF($A$1=4,'Cashflow - PVC Phenol Propane'!J22+'Cashflow - PVC Phenol Propane'!J24,IF($A$1=5,'Cashflow - PVC Phenol Ethane'!J24+'Cashflow - PVC Phenol Ethane'!J26)))))</f>
        <v>167.56851916174415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B300-A484-4625-AD65-8B65230AAC96}">
  <sheetPr codeName="Sheet21"/>
  <dimension ref="A1:I6"/>
  <sheetViews>
    <sheetView showGridLines="0" zoomScale="110" zoomScaleNormal="110" workbookViewId="0">
      <pane ySplit="1" topLeftCell="A2" activePane="bottomLeft" state="frozen"/>
      <selection activeCell="D41" sqref="D41"/>
      <selection pane="bottomLeft"/>
    </sheetView>
  </sheetViews>
  <sheetFormatPr defaultRowHeight="11.25"/>
  <cols>
    <col min="1" max="1" width="169.140625" style="613" customWidth="1"/>
    <col min="2" max="2" width="18.5703125" style="613" bestFit="1" customWidth="1"/>
    <col min="3" max="3" width="13.140625" style="613" customWidth="1"/>
    <col min="4" max="4" width="14.7109375" style="613" customWidth="1"/>
    <col min="5" max="5" width="14.28515625" style="613" customWidth="1"/>
    <col min="6" max="6" width="13.28515625" style="613" customWidth="1"/>
    <col min="7" max="7" width="16.5703125" style="613" customWidth="1"/>
    <col min="8" max="8" width="12.85546875" style="613" customWidth="1"/>
    <col min="9" max="9" width="13" style="613" customWidth="1"/>
    <col min="10" max="10" width="13.85546875" style="613" customWidth="1"/>
    <col min="11" max="11" width="11.42578125" style="613" customWidth="1"/>
    <col min="12" max="12" width="21" style="613" bestFit="1" customWidth="1"/>
    <col min="13" max="13" width="9.140625" style="613"/>
    <col min="14" max="14" width="17.7109375" style="613" bestFit="1" customWidth="1"/>
    <col min="15" max="15" width="25" style="613" bestFit="1" customWidth="1"/>
    <col min="16" max="16" width="9.140625" style="613"/>
    <col min="17" max="17" width="17.7109375" style="613" bestFit="1" customWidth="1"/>
    <col min="18" max="18" width="21" style="613" bestFit="1" customWidth="1"/>
    <col min="19" max="19" width="9.140625" style="613"/>
    <col min="20" max="20" width="17.7109375" style="613" bestFit="1" customWidth="1"/>
    <col min="21" max="21" width="24" style="613" bestFit="1" customWidth="1"/>
    <col min="22" max="16384" width="9.140625" style="613"/>
  </cols>
  <sheetData>
    <row r="1" spans="1:9">
      <c r="A1" s="787" t="s">
        <v>521</v>
      </c>
    </row>
    <row r="2" spans="1:9" ht="24.75" customHeight="1">
      <c r="A2" s="788" t="s">
        <v>522</v>
      </c>
    </row>
    <row r="3" spans="1:9" ht="33.75" customHeight="1">
      <c r="A3" s="789" t="s">
        <v>524</v>
      </c>
      <c r="B3" s="790"/>
      <c r="C3" s="790"/>
      <c r="D3" s="790"/>
      <c r="E3" s="790"/>
      <c r="F3" s="790"/>
      <c r="G3" s="790"/>
      <c r="H3" s="790"/>
      <c r="I3" s="791"/>
    </row>
    <row r="4" spans="1:9" ht="25.5" customHeight="1">
      <c r="A4" s="788" t="s">
        <v>523</v>
      </c>
      <c r="B4" s="290"/>
      <c r="C4" s="290"/>
      <c r="D4" s="290"/>
      <c r="E4" s="290"/>
      <c r="F4" s="290"/>
      <c r="G4" s="290"/>
      <c r="H4" s="290"/>
      <c r="I4" s="792"/>
    </row>
    <row r="5" spans="1:9" ht="29.25" customHeight="1">
      <c r="A5" s="788" t="s">
        <v>525</v>
      </c>
    </row>
    <row r="6" spans="1:9" ht="14.25" customHeight="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F770-ACB4-4E04-8684-D750A201A87B}">
  <sheetPr codeName="Sheet2"/>
  <dimension ref="A1:H31"/>
  <sheetViews>
    <sheetView showGridLines="0" zoomScale="84" zoomScaleNormal="84" workbookViewId="0">
      <pane xSplit="2" ySplit="1" topLeftCell="E2" activePane="bottomRight" state="frozen"/>
      <selection activeCell="C13" sqref="C13"/>
      <selection pane="topRight" activeCell="C13" sqref="C13"/>
      <selection pane="bottomLeft" activeCell="C13" sqref="C13"/>
      <selection pane="bottomRight" activeCell="E19" sqref="E19"/>
    </sheetView>
  </sheetViews>
  <sheetFormatPr defaultRowHeight="12.75"/>
  <cols>
    <col min="1" max="1" width="9.42578125" style="795" customWidth="1"/>
    <col min="2" max="2" width="26" style="795" bestFit="1" customWidth="1"/>
    <col min="3" max="3" width="36.28515625" style="795" customWidth="1"/>
    <col min="4" max="4" width="77.85546875" style="795" customWidth="1"/>
    <col min="5" max="5" width="40.5703125" style="795" customWidth="1"/>
    <col min="6" max="6" width="44" style="795" customWidth="1"/>
    <col min="7" max="7" width="37.28515625" style="795" customWidth="1"/>
    <col min="8" max="8" width="46.42578125" style="795" customWidth="1"/>
    <col min="9" max="9" width="11.7109375" style="795" customWidth="1"/>
    <col min="10" max="16384" width="9.140625" style="795"/>
  </cols>
  <sheetData>
    <row r="1" spans="1:8" ht="52.5" customHeight="1">
      <c r="A1" s="793" t="s">
        <v>528</v>
      </c>
      <c r="B1" s="794"/>
      <c r="C1" s="1005" t="str">
        <f>'[7]Background and Option Evaluated'!A2</f>
        <v>Option 1 : Capacity of 200 KTPA Phenol and 123 KTPA Acetone capacity (Propane Furnace Additional)</v>
      </c>
      <c r="D1" s="1006"/>
      <c r="E1" s="1007" t="s">
        <v>529</v>
      </c>
      <c r="F1" s="1008"/>
      <c r="G1" s="1007" t="str">
        <f>'[7]Background and Option Evaluated'!A4</f>
        <v>Option 3 : Capacity for 200 KTPA Phenol + 120 KTPA Acetone, (Propylene - 80 % in house and 20 % external procurement)</v>
      </c>
      <c r="H1" s="1008"/>
    </row>
    <row r="2" spans="1:8" ht="19.5" customHeight="1">
      <c r="A2" s="1009" t="s">
        <v>548</v>
      </c>
      <c r="B2" s="796" t="s">
        <v>99</v>
      </c>
      <c r="C2" s="797" t="s">
        <v>530</v>
      </c>
      <c r="D2" s="798" t="s">
        <v>531</v>
      </c>
      <c r="E2" s="797" t="s">
        <v>530</v>
      </c>
      <c r="F2" s="798" t="s">
        <v>531</v>
      </c>
      <c r="G2" s="797" t="s">
        <v>530</v>
      </c>
      <c r="H2" s="798" t="s">
        <v>531</v>
      </c>
    </row>
    <row r="3" spans="1:8">
      <c r="A3" s="1010"/>
      <c r="B3" s="799" t="s">
        <v>2</v>
      </c>
      <c r="C3" s="800">
        <v>91750</v>
      </c>
      <c r="D3" s="801">
        <f>'[7]Financial Model High Propane'!CM70</f>
        <v>52578.253724148555</v>
      </c>
      <c r="E3" s="802">
        <v>73400</v>
      </c>
      <c r="F3" s="803">
        <f>'[7]Financial Model Base Case'!CM70</f>
        <v>53119.883382014108</v>
      </c>
      <c r="G3" s="804">
        <v>91750</v>
      </c>
      <c r="H3" s="803">
        <v>55650</v>
      </c>
    </row>
    <row r="4" spans="1:8" ht="21.75" customHeight="1">
      <c r="A4" s="1011"/>
      <c r="B4" s="799" t="s">
        <v>3</v>
      </c>
      <c r="C4" s="800">
        <v>164000</v>
      </c>
      <c r="D4" s="801">
        <f>'[7]Financial Model High Propane'!CM7</f>
        <v>49804.452380952382</v>
      </c>
      <c r="E4" s="802">
        <v>131200</v>
      </c>
      <c r="F4" s="803">
        <v>49804.452380952403</v>
      </c>
      <c r="G4" s="802">
        <v>164000</v>
      </c>
      <c r="H4" s="803">
        <v>49804.452380952382</v>
      </c>
    </row>
    <row r="5" spans="1:8">
      <c r="A5" s="1012" t="s">
        <v>106</v>
      </c>
      <c r="B5" s="805" t="s">
        <v>141</v>
      </c>
      <c r="C5" s="806">
        <v>44400</v>
      </c>
      <c r="D5" s="807">
        <v>5830</v>
      </c>
      <c r="E5" s="805">
        <v>30950</v>
      </c>
      <c r="F5" s="803">
        <f t="shared" ref="F5:F18" si="0">D5</f>
        <v>5830</v>
      </c>
      <c r="G5" s="808">
        <f t="shared" ref="G5:G10" si="1">C5</f>
        <v>44400</v>
      </c>
      <c r="H5" s="809">
        <v>5830</v>
      </c>
    </row>
    <row r="6" spans="1:8">
      <c r="A6" s="1013"/>
      <c r="B6" s="802" t="s">
        <v>132</v>
      </c>
      <c r="C6" s="810">
        <f>2278*365</f>
        <v>831470</v>
      </c>
      <c r="D6" s="811">
        <v>4.1779999999999999</v>
      </c>
      <c r="E6" s="802">
        <v>681900</v>
      </c>
      <c r="F6" s="803">
        <f t="shared" si="0"/>
        <v>4.1779999999999999</v>
      </c>
      <c r="G6" s="812">
        <f t="shared" si="1"/>
        <v>831470</v>
      </c>
      <c r="H6" s="813">
        <v>4.1779999999999999</v>
      </c>
    </row>
    <row r="7" spans="1:8">
      <c r="A7" s="1013"/>
      <c r="B7" s="802" t="s">
        <v>131</v>
      </c>
      <c r="C7" s="810">
        <v>71620</v>
      </c>
      <c r="D7" s="811">
        <v>90.86</v>
      </c>
      <c r="E7" s="802">
        <v>58700</v>
      </c>
      <c r="F7" s="803">
        <f t="shared" si="0"/>
        <v>90.86</v>
      </c>
      <c r="G7" s="812">
        <f t="shared" si="1"/>
        <v>71620</v>
      </c>
      <c r="H7" s="813">
        <v>90.86</v>
      </c>
    </row>
    <row r="8" spans="1:8">
      <c r="A8" s="1013"/>
      <c r="B8" s="802" t="s">
        <v>130</v>
      </c>
      <c r="C8" s="810">
        <v>141300</v>
      </c>
      <c r="D8" s="814">
        <v>10450</v>
      </c>
      <c r="E8" s="802">
        <v>115866</v>
      </c>
      <c r="F8" s="803">
        <f t="shared" si="0"/>
        <v>10450</v>
      </c>
      <c r="G8" s="812">
        <f t="shared" si="1"/>
        <v>141300</v>
      </c>
      <c r="H8" s="813">
        <v>10450</v>
      </c>
    </row>
    <row r="9" spans="1:8">
      <c r="A9" s="1013"/>
      <c r="B9" s="802" t="s">
        <v>129</v>
      </c>
      <c r="C9" s="810">
        <v>2032</v>
      </c>
      <c r="D9" s="811">
        <v>52</v>
      </c>
      <c r="E9" s="802">
        <v>1667</v>
      </c>
      <c r="F9" s="803">
        <f t="shared" si="0"/>
        <v>52</v>
      </c>
      <c r="G9" s="812">
        <f t="shared" si="1"/>
        <v>2032</v>
      </c>
      <c r="H9" s="813">
        <v>52</v>
      </c>
    </row>
    <row r="10" spans="1:8" ht="14.25" customHeight="1">
      <c r="A10" s="1014"/>
      <c r="B10" s="815" t="s">
        <v>532</v>
      </c>
      <c r="C10" s="816">
        <v>445</v>
      </c>
      <c r="D10" s="817">
        <v>57</v>
      </c>
      <c r="E10" s="815">
        <v>365</v>
      </c>
      <c r="F10" s="803">
        <f t="shared" si="0"/>
        <v>57</v>
      </c>
      <c r="G10" s="818">
        <f t="shared" si="1"/>
        <v>445</v>
      </c>
      <c r="H10" s="819">
        <v>57</v>
      </c>
    </row>
    <row r="11" spans="1:8" ht="14.25" customHeight="1">
      <c r="A11" s="1003" t="s">
        <v>533</v>
      </c>
      <c r="B11" s="820" t="s">
        <v>534</v>
      </c>
      <c r="C11" s="806">
        <f>0.0244*200000</f>
        <v>4880</v>
      </c>
      <c r="D11" s="821">
        <v>27500</v>
      </c>
      <c r="E11" s="822">
        <v>4105</v>
      </c>
      <c r="F11" s="803">
        <f t="shared" si="0"/>
        <v>27500</v>
      </c>
      <c r="G11" s="823">
        <f>0.0244*200000</f>
        <v>4880</v>
      </c>
      <c r="H11" s="805">
        <f t="shared" ref="H11:H18" si="2">D11</f>
        <v>27500</v>
      </c>
    </row>
    <row r="12" spans="1:8" ht="14.25" customHeight="1">
      <c r="A12" s="1004"/>
      <c r="B12" s="799" t="s">
        <v>535</v>
      </c>
      <c r="C12" s="810">
        <f>0.0082*200000</f>
        <v>1640.0000000000002</v>
      </c>
      <c r="D12" s="824">
        <v>14300</v>
      </c>
      <c r="E12" s="822">
        <v>359</v>
      </c>
      <c r="F12" s="803">
        <f t="shared" si="0"/>
        <v>14300</v>
      </c>
      <c r="G12" s="814">
        <f>0.0082*200000</f>
        <v>1640.0000000000002</v>
      </c>
      <c r="H12" s="802">
        <f t="shared" si="2"/>
        <v>14300</v>
      </c>
    </row>
    <row r="13" spans="1:8" ht="14.25" customHeight="1">
      <c r="A13" s="1004"/>
      <c r="B13" s="799" t="s">
        <v>536</v>
      </c>
      <c r="C13" s="810">
        <f>0.00001*200000</f>
        <v>2</v>
      </c>
      <c r="D13" s="824">
        <v>135000</v>
      </c>
      <c r="E13" s="822">
        <v>1.65</v>
      </c>
      <c r="F13" s="803">
        <f t="shared" si="0"/>
        <v>135000</v>
      </c>
      <c r="G13" s="814">
        <f>0.00001*200000</f>
        <v>2</v>
      </c>
      <c r="H13" s="802">
        <f t="shared" si="2"/>
        <v>135000</v>
      </c>
    </row>
    <row r="14" spans="1:8" ht="14.25" customHeight="1">
      <c r="A14" s="1004"/>
      <c r="B14" s="799" t="s">
        <v>537</v>
      </c>
      <c r="C14" s="810">
        <v>4.5</v>
      </c>
      <c r="D14" s="824">
        <v>43500</v>
      </c>
      <c r="E14" s="822">
        <v>3.7</v>
      </c>
      <c r="F14" s="803">
        <f t="shared" si="0"/>
        <v>43500</v>
      </c>
      <c r="G14" s="814">
        <v>4.5</v>
      </c>
      <c r="H14" s="802">
        <f t="shared" si="2"/>
        <v>43500</v>
      </c>
    </row>
    <row r="15" spans="1:8" ht="14.25" customHeight="1">
      <c r="A15" s="1004"/>
      <c r="B15" s="799" t="s">
        <v>538</v>
      </c>
      <c r="C15" s="810">
        <f>0.00007*200000</f>
        <v>13.999999999999998</v>
      </c>
      <c r="D15" s="824">
        <v>63000</v>
      </c>
      <c r="E15" s="822">
        <v>11.5</v>
      </c>
      <c r="F15" s="803">
        <f t="shared" si="0"/>
        <v>63000</v>
      </c>
      <c r="G15" s="814">
        <f>0.00007*200000</f>
        <v>13.999999999999998</v>
      </c>
      <c r="H15" s="802">
        <f t="shared" si="2"/>
        <v>63000</v>
      </c>
    </row>
    <row r="16" spans="1:8" ht="14.25" customHeight="1">
      <c r="A16" s="825"/>
      <c r="B16" s="799" t="s">
        <v>539</v>
      </c>
      <c r="C16" s="810">
        <v>5.4</v>
      </c>
      <c r="D16" s="826">
        <v>194000</v>
      </c>
      <c r="E16" s="822">
        <v>4.45</v>
      </c>
      <c r="F16" s="803">
        <f t="shared" si="0"/>
        <v>194000</v>
      </c>
      <c r="G16" s="814">
        <v>5.4</v>
      </c>
      <c r="H16" s="802">
        <f t="shared" si="2"/>
        <v>194000</v>
      </c>
    </row>
    <row r="17" spans="1:8" ht="14.25" customHeight="1">
      <c r="A17" s="825"/>
      <c r="B17" s="799" t="s">
        <v>540</v>
      </c>
      <c r="C17" s="810">
        <v>54.45</v>
      </c>
      <c r="D17" s="826">
        <v>4400</v>
      </c>
      <c r="E17" s="822">
        <v>44.65</v>
      </c>
      <c r="F17" s="803">
        <f t="shared" si="0"/>
        <v>4400</v>
      </c>
      <c r="G17" s="814">
        <v>54.45</v>
      </c>
      <c r="H17" s="802">
        <f t="shared" si="2"/>
        <v>4400</v>
      </c>
    </row>
    <row r="18" spans="1:8" ht="14.25" customHeight="1" thickBot="1">
      <c r="A18" s="825"/>
      <c r="B18" s="799" t="s">
        <v>532</v>
      </c>
      <c r="C18" s="810">
        <v>65000</v>
      </c>
      <c r="D18" s="826">
        <v>12000</v>
      </c>
      <c r="E18" s="822">
        <v>53300</v>
      </c>
      <c r="F18" s="803">
        <f t="shared" si="0"/>
        <v>12000</v>
      </c>
      <c r="G18" s="814">
        <v>65000</v>
      </c>
      <c r="H18" s="815">
        <f t="shared" si="2"/>
        <v>12000</v>
      </c>
    </row>
    <row r="19" spans="1:8">
      <c r="A19" s="827"/>
      <c r="B19" s="828" t="s">
        <v>4</v>
      </c>
      <c r="C19" s="829" t="s">
        <v>530</v>
      </c>
      <c r="D19" s="830" t="s">
        <v>541</v>
      </c>
      <c r="E19" s="831" t="s">
        <v>530</v>
      </c>
      <c r="F19" s="832" t="s">
        <v>541</v>
      </c>
      <c r="G19" s="831" t="s">
        <v>530</v>
      </c>
      <c r="H19" s="833" t="s">
        <v>541</v>
      </c>
    </row>
    <row r="20" spans="1:8">
      <c r="A20" s="827"/>
      <c r="B20" s="834" t="s">
        <v>455</v>
      </c>
      <c r="C20" s="835">
        <v>200000</v>
      </c>
      <c r="D20" s="836">
        <f>'[7]Financial Model (84 Months)'!CM57</f>
        <v>77038.391071428574</v>
      </c>
      <c r="E20" s="362">
        <f>200000*0.8</f>
        <v>160000</v>
      </c>
      <c r="F20" s="803">
        <f>H20</f>
        <v>77038.391071428574</v>
      </c>
      <c r="G20" s="362">
        <v>200000</v>
      </c>
      <c r="H20" s="837">
        <f>D20</f>
        <v>77038.391071428574</v>
      </c>
    </row>
    <row r="21" spans="1:8">
      <c r="A21" s="827"/>
      <c r="B21" s="834" t="s">
        <v>456</v>
      </c>
      <c r="C21" s="835">
        <v>120000</v>
      </c>
      <c r="D21" s="836">
        <f>'[7]Financial Model (84 Months)'!CM56</f>
        <v>58590.053407738094</v>
      </c>
      <c r="E21" s="362">
        <f>120000*0.8</f>
        <v>96000</v>
      </c>
      <c r="F21" s="803">
        <f>H21</f>
        <v>58590.053407738094</v>
      </c>
      <c r="G21" s="362">
        <v>120000</v>
      </c>
      <c r="H21" s="837">
        <f>D21</f>
        <v>58590.053407738094</v>
      </c>
    </row>
    <row r="22" spans="1:8" s="1" customFormat="1">
      <c r="A22" s="34"/>
      <c r="B22" s="225"/>
      <c r="C22" s="225"/>
      <c r="D22" s="225"/>
      <c r="E22" s="225"/>
      <c r="F22" s="838"/>
      <c r="G22" s="225"/>
      <c r="H22" s="225"/>
    </row>
    <row r="23" spans="1:8" s="1" customFormat="1"/>
    <row r="24" spans="1:8">
      <c r="B24" s="1"/>
      <c r="C24" s="1"/>
      <c r="D24" s="1"/>
    </row>
    <row r="25" spans="1:8">
      <c r="B25" s="1"/>
    </row>
    <row r="26" spans="1:8">
      <c r="E26" s="1"/>
      <c r="F26" s="1"/>
      <c r="G26" s="1"/>
      <c r="H26" s="1"/>
    </row>
    <row r="27" spans="1:8">
      <c r="E27" s="1"/>
      <c r="F27" s="1"/>
      <c r="G27" s="1"/>
      <c r="H27" s="1"/>
    </row>
    <row r="28" spans="1:8">
      <c r="E28" s="1"/>
      <c r="F28" s="1"/>
      <c r="G28" s="1"/>
      <c r="H28" s="1"/>
    </row>
    <row r="29" spans="1:8">
      <c r="E29" s="1"/>
      <c r="F29" s="1"/>
      <c r="G29" s="1"/>
      <c r="H29" s="1"/>
    </row>
    <row r="30" spans="1:8">
      <c r="E30" s="1"/>
      <c r="F30" s="1"/>
      <c r="G30" s="1"/>
      <c r="H30" s="1"/>
    </row>
    <row r="31" spans="1:8">
      <c r="E31" s="1"/>
      <c r="F31" s="1"/>
      <c r="G31" s="1"/>
      <c r="H31" s="1"/>
    </row>
  </sheetData>
  <mergeCells count="6">
    <mergeCell ref="A11:A15"/>
    <mergeCell ref="C1:D1"/>
    <mergeCell ref="E1:F1"/>
    <mergeCell ref="G1:H1"/>
    <mergeCell ref="A2:A4"/>
    <mergeCell ref="A5:A1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F56E5-16BB-4570-A68E-F3F5E4433791}">
  <sheetPr codeName="Sheet43"/>
  <dimension ref="A1:AH97"/>
  <sheetViews>
    <sheetView tabSelected="1" topLeftCell="D1" workbookViewId="0">
      <selection activeCell="F2" sqref="F2"/>
    </sheetView>
  </sheetViews>
  <sheetFormatPr defaultRowHeight="15"/>
  <cols>
    <col min="1" max="3" width="0" hidden="1" customWidth="1"/>
    <col min="4" max="4" width="10.42578125" bestFit="1" customWidth="1"/>
    <col min="5" max="7" width="14" customWidth="1"/>
    <col min="8" max="8" width="8.42578125" bestFit="1" customWidth="1"/>
    <col min="9" max="11" width="11.5703125" bestFit="1" customWidth="1"/>
    <col min="12" max="12" width="14.140625" customWidth="1"/>
    <col min="13" max="15" width="11.85546875" customWidth="1"/>
    <col min="16" max="16" width="11.5703125" bestFit="1" customWidth="1"/>
    <col min="17" max="17" width="11.85546875" customWidth="1"/>
    <col min="18" max="20" width="11.5703125" bestFit="1" customWidth="1"/>
    <col min="21" max="21" width="12.7109375" customWidth="1"/>
    <col min="22" max="26" width="11.5703125" bestFit="1" customWidth="1"/>
    <col min="30" max="30" width="14.28515625" customWidth="1"/>
    <col min="32" max="33" width="11.5703125" bestFit="1" customWidth="1"/>
  </cols>
  <sheetData>
    <row r="1" spans="1:34">
      <c r="D1">
        <v>1</v>
      </c>
      <c r="E1">
        <v>2</v>
      </c>
      <c r="F1">
        <v>3</v>
      </c>
      <c r="G1">
        <v>4</v>
      </c>
      <c r="H1">
        <v>5</v>
      </c>
      <c r="I1">
        <v>6</v>
      </c>
      <c r="J1">
        <v>7</v>
      </c>
      <c r="K1">
        <v>8</v>
      </c>
      <c r="L1">
        <v>9</v>
      </c>
      <c r="M1">
        <v>10</v>
      </c>
      <c r="N1">
        <v>11</v>
      </c>
      <c r="O1">
        <v>12</v>
      </c>
      <c r="P1">
        <v>13</v>
      </c>
      <c r="Q1">
        <v>14</v>
      </c>
      <c r="R1">
        <v>15</v>
      </c>
      <c r="S1">
        <v>16</v>
      </c>
      <c r="T1">
        <v>17</v>
      </c>
      <c r="U1">
        <v>18</v>
      </c>
      <c r="V1">
        <v>19</v>
      </c>
      <c r="W1">
        <v>20</v>
      </c>
      <c r="X1">
        <v>21</v>
      </c>
      <c r="Y1">
        <v>22</v>
      </c>
      <c r="Z1">
        <v>23</v>
      </c>
    </row>
    <row r="2" spans="1:34" s="979" customFormat="1" ht="150">
      <c r="A2" s="979" t="s">
        <v>615</v>
      </c>
      <c r="B2" s="979" t="s">
        <v>292</v>
      </c>
      <c r="C2" s="979" t="s">
        <v>615</v>
      </c>
      <c r="D2" s="979" t="s">
        <v>616</v>
      </c>
      <c r="E2" s="979" t="s">
        <v>617</v>
      </c>
      <c r="F2" s="979" t="s">
        <v>618</v>
      </c>
      <c r="G2" s="979" t="s">
        <v>619</v>
      </c>
      <c r="H2" s="979" t="s">
        <v>620</v>
      </c>
      <c r="I2" s="980" t="s">
        <v>621</v>
      </c>
      <c r="J2" s="980" t="s">
        <v>645</v>
      </c>
      <c r="K2" s="980" t="s">
        <v>622</v>
      </c>
      <c r="L2" s="979" t="s">
        <v>623</v>
      </c>
      <c r="M2" s="979" t="s">
        <v>624</v>
      </c>
      <c r="N2" s="979" t="s">
        <v>625</v>
      </c>
      <c r="O2" s="979" t="s">
        <v>626</v>
      </c>
      <c r="P2" s="980" t="s">
        <v>656</v>
      </c>
      <c r="Q2" s="979" t="s">
        <v>627</v>
      </c>
      <c r="R2" s="980" t="s">
        <v>628</v>
      </c>
      <c r="S2" s="979" t="s">
        <v>629</v>
      </c>
      <c r="T2" s="979" t="s">
        <v>630</v>
      </c>
      <c r="U2" s="979" t="s">
        <v>631</v>
      </c>
      <c r="V2" s="994" t="s">
        <v>654</v>
      </c>
      <c r="W2" s="994" t="s">
        <v>647</v>
      </c>
      <c r="X2" s="980" t="s">
        <v>655</v>
      </c>
      <c r="Y2" s="980" t="s">
        <v>644</v>
      </c>
      <c r="Z2" s="980" t="s">
        <v>646</v>
      </c>
      <c r="AD2" s="1015" t="s">
        <v>653</v>
      </c>
      <c r="AE2" s="1015"/>
      <c r="AF2" s="1015"/>
      <c r="AG2" s="1015"/>
      <c r="AH2" s="1015"/>
    </row>
    <row r="3" spans="1:34" s="979" customFormat="1">
      <c r="D3" s="981">
        <v>41913</v>
      </c>
      <c r="E3" s="982">
        <v>45117.106964999999</v>
      </c>
      <c r="F3" s="982">
        <v>43202.607034209002</v>
      </c>
      <c r="G3" s="982">
        <v>46958.621534999998</v>
      </c>
      <c r="H3" s="983">
        <v>61.383819000000003</v>
      </c>
      <c r="I3" s="990">
        <f>1.049*E3</f>
        <v>47327.845206284997</v>
      </c>
      <c r="J3" s="990">
        <f>(1.011*F3+0.02*H3)*0.39+0.16*(1.011*F3+17*H3)+0.45*(F3+L3*H3)</f>
        <v>43624.51990859666</v>
      </c>
      <c r="K3" s="990">
        <f>1.0459*G3</f>
        <v>49114.0222634565</v>
      </c>
      <c r="L3" s="984">
        <v>-0.25</v>
      </c>
      <c r="M3" s="979">
        <v>3.984</v>
      </c>
      <c r="N3" s="979">
        <v>4.2</v>
      </c>
      <c r="O3" s="984">
        <f t="shared" ref="O3:O17" si="0">1.95*39206/49.2</f>
        <v>1553.8963414634145</v>
      </c>
      <c r="P3" s="990">
        <f t="shared" ref="P3:P17" si="1">(1.043*N3*H3+236)*49.2</f>
        <v>24840.979509560882</v>
      </c>
      <c r="Q3" s="984">
        <f t="shared" ref="Q3:Q17" si="2">1.3207*M3 + 4.1257</f>
        <v>9.3873688000000008</v>
      </c>
      <c r="R3" s="990">
        <f>Q3*49.2*H3</f>
        <v>28350.641327428009</v>
      </c>
      <c r="S3" s="985">
        <f>3000-O3</f>
        <v>1446.1036585365855</v>
      </c>
      <c r="T3" s="986">
        <f>S3/3000</f>
        <v>0.48203455284552849</v>
      </c>
      <c r="U3" s="987">
        <f>100%-T3</f>
        <v>0.51796544715447146</v>
      </c>
      <c r="V3" s="995">
        <f>(T3*R3)+(U3*P3)</f>
        <v>26532.757774575486</v>
      </c>
      <c r="W3" s="995">
        <f t="shared" ref="W3:W34" si="3">(1.011*F3+0.02*H3)*0.55+0.22*(1.011*F3+17*H3)+0.23*(F3+L3*H3)</f>
        <v>43795.254251265251</v>
      </c>
      <c r="X3" s="990">
        <f>0.94*P3+0.06*R3</f>
        <v>25051.559218632909</v>
      </c>
      <c r="Y3" s="990">
        <f>0.39*I3+0.61*1.1*E3</f>
        <v>48731.438403966153</v>
      </c>
      <c r="Z3" s="990">
        <f t="shared" ref="Z3:Z34" si="4">(1.011*F3+0.02*H3)*0.36+0.15*(1.011*F3+17*H3)+0.49*(F3+L3*H3)</f>
        <v>43594.424843790213</v>
      </c>
      <c r="AD3" s="1015" t="s">
        <v>651</v>
      </c>
      <c r="AE3" s="979">
        <v>1500</v>
      </c>
      <c r="AF3" s="979">
        <v>0.39</v>
      </c>
      <c r="AG3" s="979">
        <f>AE3*AF3</f>
        <v>585</v>
      </c>
      <c r="AH3" s="979" t="s">
        <v>648</v>
      </c>
    </row>
    <row r="4" spans="1:34" s="979" customFormat="1">
      <c r="D4" s="981">
        <v>41944</v>
      </c>
      <c r="E4" s="982">
        <v>37638.520120000001</v>
      </c>
      <c r="F4" s="982">
        <v>38841.163391572001</v>
      </c>
      <c r="G4" s="982">
        <v>37021.495199999998</v>
      </c>
      <c r="H4" s="983">
        <v>61.702491999999999</v>
      </c>
      <c r="I4" s="990">
        <f t="shared" ref="I4:I17" si="5">1.049*E4</f>
        <v>39482.80760588</v>
      </c>
      <c r="J4" s="990">
        <f t="shared" ref="J4:J67" si="6">(1.011*F4+0.02*H4)*0.39+0.16*(1.011*F4+17*H4)+0.45*(F4+L4*H4)</f>
        <v>39188.238091933614</v>
      </c>
      <c r="K4" s="990">
        <f t="shared" ref="K4:K17" si="7">1.0459*G4</f>
        <v>38720.781829679996</v>
      </c>
      <c r="L4" s="984">
        <v>-2.0249999999999999</v>
      </c>
      <c r="M4" s="979">
        <v>3.7280000000000002</v>
      </c>
      <c r="N4">
        <v>5.05</v>
      </c>
      <c r="O4" s="984">
        <f t="shared" si="0"/>
        <v>1553.8963414634145</v>
      </c>
      <c r="P4" s="990">
        <f t="shared" si="1"/>
        <v>27601.017012299759</v>
      </c>
      <c r="Q4" s="984">
        <f t="shared" si="2"/>
        <v>9.0492696000000006</v>
      </c>
      <c r="R4" s="990">
        <f t="shared" ref="R4:R66" si="8">Q4*49.2*H4</f>
        <v>27471.434266912289</v>
      </c>
      <c r="S4" s="985">
        <f t="shared" ref="S4:S67" si="9">3000-O4</f>
        <v>1446.1036585365855</v>
      </c>
      <c r="T4" s="986">
        <f t="shared" ref="T4:T67" si="10">S4/3000</f>
        <v>0.48203455284552849</v>
      </c>
      <c r="U4" s="987">
        <f t="shared" ref="U4:U67" si="11">100%-T4</f>
        <v>0.51796544715447146</v>
      </c>
      <c r="V4" s="995">
        <f t="shared" ref="V4:V67" si="12">(T4*R4)+(U4*P4)</f>
        <v>27538.553651570412</v>
      </c>
      <c r="W4" s="995">
        <f t="shared" si="3"/>
        <v>39372.856157341615</v>
      </c>
      <c r="X4" s="990">
        <f t="shared" ref="X4:X67" si="13">0.94*P4+0.06*R4</f>
        <v>27593.24204757651</v>
      </c>
      <c r="Y4" s="990">
        <f t="shared" ref="Y4:Y67" si="14">0.39*I4+0.61*1.1*E4</f>
        <v>40653.741966813206</v>
      </c>
      <c r="Z4" s="990">
        <f t="shared" si="4"/>
        <v>39155.623633054114</v>
      </c>
      <c r="AD4" s="1015"/>
      <c r="AE4" s="979">
        <v>1500</v>
      </c>
      <c r="AF4" s="979">
        <v>0.16</v>
      </c>
      <c r="AG4" s="979">
        <f t="shared" ref="AG4:AG5" si="15">AE4*AF4</f>
        <v>240</v>
      </c>
      <c r="AH4" s="979" t="s">
        <v>649</v>
      </c>
    </row>
    <row r="5" spans="1:34" s="979" customFormat="1">
      <c r="D5" s="981">
        <v>41974</v>
      </c>
      <c r="E5" s="982">
        <v>34512.927349999998</v>
      </c>
      <c r="F5" s="982">
        <v>30847.403462322</v>
      </c>
      <c r="G5" s="982">
        <v>35767.942889999998</v>
      </c>
      <c r="H5" s="983">
        <v>62.750776999999999</v>
      </c>
      <c r="I5" s="990">
        <f t="shared" si="5"/>
        <v>36204.060790149997</v>
      </c>
      <c r="J5" s="990">
        <f t="shared" si="6"/>
        <v>31227.926568440358</v>
      </c>
      <c r="K5" s="990">
        <f t="shared" si="7"/>
        <v>37409.691468650999</v>
      </c>
      <c r="L5" s="984">
        <v>0.80476190476190468</v>
      </c>
      <c r="M5" s="979">
        <v>4.282</v>
      </c>
      <c r="N5">
        <v>5.05</v>
      </c>
      <c r="O5" s="984">
        <f t="shared" si="0"/>
        <v>1553.8963414634145</v>
      </c>
      <c r="P5" s="990">
        <f t="shared" si="1"/>
        <v>27872.673549717059</v>
      </c>
      <c r="Q5" s="984">
        <f t="shared" si="2"/>
        <v>9.7809373999999991</v>
      </c>
      <c r="R5" s="990">
        <f t="shared" si="8"/>
        <v>30197.0619446073</v>
      </c>
      <c r="S5" s="985">
        <f t="shared" si="9"/>
        <v>1446.1036585365855</v>
      </c>
      <c r="T5" s="986">
        <f t="shared" si="10"/>
        <v>0.48203455284552849</v>
      </c>
      <c r="U5" s="987">
        <f t="shared" si="11"/>
        <v>0.51796544715447146</v>
      </c>
      <c r="V5" s="995">
        <f t="shared" si="12"/>
        <v>28993.109070287312</v>
      </c>
      <c r="W5" s="995">
        <f t="shared" si="3"/>
        <v>31355.674004184344</v>
      </c>
      <c r="X5" s="990">
        <f t="shared" si="13"/>
        <v>28012.136853410473</v>
      </c>
      <c r="Y5" s="990">
        <f t="shared" si="14"/>
        <v>37277.757960008501</v>
      </c>
      <c r="Z5" s="990">
        <f t="shared" si="4"/>
        <v>31205.668405753691</v>
      </c>
      <c r="AD5" s="1015"/>
      <c r="AE5" s="979">
        <v>1500</v>
      </c>
      <c r="AF5" s="979">
        <v>0.45</v>
      </c>
      <c r="AG5" s="979">
        <f t="shared" si="15"/>
        <v>675</v>
      </c>
      <c r="AH5" s="979" t="s">
        <v>650</v>
      </c>
    </row>
    <row r="6" spans="1:34" s="979" customFormat="1">
      <c r="D6" s="981">
        <v>42005</v>
      </c>
      <c r="E6" s="982">
        <v>26404.393625000001</v>
      </c>
      <c r="F6" s="982">
        <v>24224.571143289999</v>
      </c>
      <c r="G6" s="982">
        <v>29200.15295</v>
      </c>
      <c r="H6" s="983">
        <v>62.127985000000002</v>
      </c>
      <c r="I6" s="990">
        <f t="shared" si="5"/>
        <v>27698.208912624999</v>
      </c>
      <c r="J6" s="990">
        <f t="shared" si="6"/>
        <v>24551.253027904189</v>
      </c>
      <c r="K6" s="990">
        <f t="shared" si="7"/>
        <v>30540.439970405001</v>
      </c>
      <c r="L6" s="984">
        <v>0.38095238095238093</v>
      </c>
      <c r="M6" s="979">
        <v>3.1890000000000001</v>
      </c>
      <c r="N6">
        <v>5.05</v>
      </c>
      <c r="O6" s="984">
        <f t="shared" si="0"/>
        <v>1553.8963414634145</v>
      </c>
      <c r="P6" s="990">
        <f t="shared" si="1"/>
        <v>27711.2808766833</v>
      </c>
      <c r="Q6" s="984">
        <f t="shared" si="2"/>
        <v>8.3374123000000004</v>
      </c>
      <c r="R6" s="990">
        <f t="shared" si="8"/>
        <v>25484.942014610206</v>
      </c>
      <c r="S6" s="985">
        <f t="shared" si="9"/>
        <v>1446.1036585365855</v>
      </c>
      <c r="T6" s="986">
        <f t="shared" si="10"/>
        <v>0.48203455284552849</v>
      </c>
      <c r="U6" s="987">
        <f t="shared" si="11"/>
        <v>0.51796544715447146</v>
      </c>
      <c r="V6" s="995">
        <f t="shared" si="12"/>
        <v>26638.108618821272</v>
      </c>
      <c r="W6" s="995">
        <f t="shared" si="3"/>
        <v>24668.238927484857</v>
      </c>
      <c r="X6" s="990">
        <f t="shared" si="13"/>
        <v>27577.700544958916</v>
      </c>
      <c r="Y6" s="990">
        <f t="shared" si="14"/>
        <v>28519.649598298754</v>
      </c>
      <c r="Z6" s="990">
        <f t="shared" si="4"/>
        <v>24530.941894512522</v>
      </c>
      <c r="AD6" s="993"/>
    </row>
    <row r="7" spans="1:34" s="979" customFormat="1">
      <c r="D7" s="981">
        <v>42036</v>
      </c>
      <c r="E7" s="982">
        <v>27927.001350000002</v>
      </c>
      <c r="F7" s="982">
        <v>30653.173161784001</v>
      </c>
      <c r="G7" s="982">
        <v>29788.801439999999</v>
      </c>
      <c r="H7" s="983">
        <v>62.060003000000002</v>
      </c>
      <c r="I7" s="990">
        <f t="shared" si="5"/>
        <v>29295.424416149999</v>
      </c>
      <c r="J7" s="990">
        <f t="shared" si="6"/>
        <v>31348.466402058693</v>
      </c>
      <c r="K7" s="990">
        <f t="shared" si="7"/>
        <v>31156.107426096001</v>
      </c>
      <c r="L7" s="984">
        <v>12.194444444444445</v>
      </c>
      <c r="M7" s="979">
        <v>2.8660000000000001</v>
      </c>
      <c r="N7">
        <v>5.05</v>
      </c>
      <c r="O7" s="984">
        <f t="shared" si="0"/>
        <v>1553.8963414634145</v>
      </c>
      <c r="P7" s="990">
        <f t="shared" si="1"/>
        <v>27693.66376423134</v>
      </c>
      <c r="Q7" s="984">
        <f t="shared" si="2"/>
        <v>7.9108262000000007</v>
      </c>
      <c r="R7" s="990">
        <f t="shared" si="8"/>
        <v>24154.538167060349</v>
      </c>
      <c r="S7" s="985">
        <f t="shared" si="9"/>
        <v>1446.1036585365855</v>
      </c>
      <c r="T7" s="986">
        <f t="shared" si="10"/>
        <v>0.48203455284552849</v>
      </c>
      <c r="U7" s="987">
        <f t="shared" si="11"/>
        <v>0.51796544715447146</v>
      </c>
      <c r="V7" s="995">
        <f t="shared" si="12"/>
        <v>25987.682939534854</v>
      </c>
      <c r="W7" s="995">
        <f t="shared" si="3"/>
        <v>31319.653679242587</v>
      </c>
      <c r="X7" s="990">
        <f t="shared" si="13"/>
        <v>27481.31622840108</v>
      </c>
      <c r="Y7" s="990">
        <f t="shared" si="14"/>
        <v>30164.233428148502</v>
      </c>
      <c r="Z7" s="990">
        <f t="shared" si="4"/>
        <v>31354.663059707927</v>
      </c>
      <c r="AD7" s="1015" t="s">
        <v>652</v>
      </c>
      <c r="AE7" s="979">
        <v>1611</v>
      </c>
      <c r="AF7" s="979">
        <f>AG3</f>
        <v>585</v>
      </c>
      <c r="AG7" s="985">
        <f>AF7/AE7</f>
        <v>0.36312849162011174</v>
      </c>
      <c r="AH7" s="979" t="s">
        <v>648</v>
      </c>
    </row>
    <row r="8" spans="1:34" s="979" customFormat="1">
      <c r="D8" s="981">
        <v>42064</v>
      </c>
      <c r="E8" s="982">
        <v>31253.611000000001</v>
      </c>
      <c r="F8" s="982">
        <v>30504.024393775999</v>
      </c>
      <c r="G8" s="982">
        <v>28753.322120000001</v>
      </c>
      <c r="H8" s="983">
        <v>62.507221999999999</v>
      </c>
      <c r="I8" s="990">
        <f t="shared" si="5"/>
        <v>32785.037939000002</v>
      </c>
      <c r="J8" s="990">
        <f t="shared" si="6"/>
        <v>31334.704076202666</v>
      </c>
      <c r="K8" s="990">
        <f t="shared" si="7"/>
        <v>30073.099605308002</v>
      </c>
      <c r="L8" s="984">
        <v>16.90909090909091</v>
      </c>
      <c r="M8" s="979">
        <v>2.8940000000000001</v>
      </c>
      <c r="N8">
        <v>5.05</v>
      </c>
      <c r="O8" s="984">
        <f t="shared" si="0"/>
        <v>1553.8963414634145</v>
      </c>
      <c r="P8" s="990">
        <f t="shared" si="1"/>
        <v>27809.557786379155</v>
      </c>
      <c r="Q8" s="984">
        <f t="shared" si="2"/>
        <v>7.9478058000000003</v>
      </c>
      <c r="R8" s="990">
        <f t="shared" si="8"/>
        <v>24442.326868431592</v>
      </c>
      <c r="S8" s="985">
        <f t="shared" si="9"/>
        <v>1446.1036585365855</v>
      </c>
      <c r="T8" s="986">
        <f t="shared" si="10"/>
        <v>0.48203455284552849</v>
      </c>
      <c r="U8" s="987">
        <f t="shared" si="11"/>
        <v>0.51796544715447146</v>
      </c>
      <c r="V8" s="995">
        <f t="shared" si="12"/>
        <v>26186.436136518663</v>
      </c>
      <c r="W8" s="995">
        <f t="shared" si="3"/>
        <v>31239.954338946009</v>
      </c>
      <c r="X8" s="990">
        <f t="shared" si="13"/>
        <v>27607.523931302298</v>
      </c>
      <c r="Y8" s="990">
        <f t="shared" si="14"/>
        <v>33757.337777210007</v>
      </c>
      <c r="Z8" s="990">
        <f t="shared" si="4"/>
        <v>31352.896185367117</v>
      </c>
      <c r="AD8" s="1015"/>
      <c r="AF8" s="979">
        <f>AG4</f>
        <v>240</v>
      </c>
      <c r="AG8" s="985">
        <f>AF8/AE7</f>
        <v>0.148975791433892</v>
      </c>
      <c r="AH8" s="979" t="s">
        <v>649</v>
      </c>
    </row>
    <row r="9" spans="1:34" s="979" customFormat="1">
      <c r="D9" s="981">
        <v>42095</v>
      </c>
      <c r="E9" s="982">
        <v>28864.580480000001</v>
      </c>
      <c r="F9" s="982">
        <v>32168.382712287996</v>
      </c>
      <c r="G9" s="982">
        <v>29492.071360000002</v>
      </c>
      <c r="H9" s="983">
        <v>62.749088</v>
      </c>
      <c r="I9" s="990">
        <f t="shared" si="5"/>
        <v>30278.944923519997</v>
      </c>
      <c r="J9" s="990">
        <f t="shared" si="6"/>
        <v>33074.370806458028</v>
      </c>
      <c r="K9" s="990">
        <f t="shared" si="7"/>
        <v>30845.757435424002</v>
      </c>
      <c r="L9" s="984">
        <v>19.13095238095238</v>
      </c>
      <c r="M9" s="979">
        <v>2.59</v>
      </c>
      <c r="N9">
        <v>5.05</v>
      </c>
      <c r="O9" s="984">
        <f t="shared" si="0"/>
        <v>1553.8963414634145</v>
      </c>
      <c r="P9" s="990">
        <f t="shared" si="1"/>
        <v>27872.235855872641</v>
      </c>
      <c r="Q9" s="984">
        <f t="shared" si="2"/>
        <v>7.5463129999999996</v>
      </c>
      <c r="R9" s="990">
        <f t="shared" si="8"/>
        <v>23297.393518817164</v>
      </c>
      <c r="S9" s="985">
        <f t="shared" si="9"/>
        <v>1446.1036585365855</v>
      </c>
      <c r="T9" s="986">
        <f t="shared" si="10"/>
        <v>0.48203455284552849</v>
      </c>
      <c r="U9" s="987">
        <f t="shared" si="11"/>
        <v>0.51796544715447146</v>
      </c>
      <c r="V9" s="995">
        <f t="shared" si="12"/>
        <v>25667.003775591307</v>
      </c>
      <c r="W9" s="995">
        <f t="shared" si="3"/>
        <v>32952.324200278599</v>
      </c>
      <c r="X9" s="990">
        <f t="shared" si="13"/>
        <v>27597.74531564931</v>
      </c>
      <c r="Y9" s="990">
        <f t="shared" si="14"/>
        <v>31176.922022252798</v>
      </c>
      <c r="Z9" s="990">
        <f t="shared" si="4"/>
        <v>33097.529716230856</v>
      </c>
      <c r="AD9" s="1015"/>
      <c r="AF9" s="979">
        <f>AE7-AF8-AF7</f>
        <v>786</v>
      </c>
      <c r="AG9" s="985">
        <f>AF9/AE7</f>
        <v>0.48789571694599626</v>
      </c>
      <c r="AH9" s="979" t="s">
        <v>650</v>
      </c>
    </row>
    <row r="10" spans="1:34" s="979" customFormat="1">
      <c r="D10" s="981">
        <v>42125</v>
      </c>
      <c r="E10" s="982">
        <v>29659.22985</v>
      </c>
      <c r="F10" s="982">
        <v>34378.619260389998</v>
      </c>
      <c r="G10" s="982">
        <v>30297.062750000001</v>
      </c>
      <c r="H10" s="983">
        <v>63.783290000000001</v>
      </c>
      <c r="I10" s="990">
        <f t="shared" si="5"/>
        <v>31112.532112649998</v>
      </c>
      <c r="J10" s="990">
        <f t="shared" si="6"/>
        <v>35152.0280431961</v>
      </c>
      <c r="K10" s="990">
        <f t="shared" si="7"/>
        <v>31687.697930225004</v>
      </c>
      <c r="L10" s="984">
        <v>13.637499999999999</v>
      </c>
      <c r="M10" s="979">
        <v>2.5169999999999999</v>
      </c>
      <c r="N10">
        <v>5.05</v>
      </c>
      <c r="O10" s="984">
        <f t="shared" si="0"/>
        <v>1553.8963414634145</v>
      </c>
      <c r="P10" s="990">
        <f t="shared" si="1"/>
        <v>28140.242871436196</v>
      </c>
      <c r="Q10" s="984">
        <f t="shared" si="2"/>
        <v>7.4499019000000004</v>
      </c>
      <c r="R10" s="990">
        <f t="shared" si="8"/>
        <v>23378.81926527515</v>
      </c>
      <c r="S10" s="985">
        <f t="shared" si="9"/>
        <v>1446.1036585365855</v>
      </c>
      <c r="T10" s="986">
        <f t="shared" si="10"/>
        <v>0.48203455284552849</v>
      </c>
      <c r="U10" s="987">
        <f t="shared" si="11"/>
        <v>0.51796544715447146</v>
      </c>
      <c r="V10" s="995">
        <f t="shared" si="12"/>
        <v>25845.072172532211</v>
      </c>
      <c r="W10" s="995">
        <f t="shared" si="3"/>
        <v>35109.121548311748</v>
      </c>
      <c r="X10" s="990">
        <f t="shared" si="13"/>
        <v>27854.557455066533</v>
      </c>
      <c r="Y10" s="990">
        <f t="shared" si="14"/>
        <v>32035.2307532835</v>
      </c>
      <c r="Z10" s="990">
        <f t="shared" si="4"/>
        <v>35160.813806142534</v>
      </c>
      <c r="AD10" s="993"/>
    </row>
    <row r="11" spans="1:34" s="979" customFormat="1">
      <c r="D11" s="981">
        <v>42156</v>
      </c>
      <c r="E11" s="982">
        <v>25855.935074999998</v>
      </c>
      <c r="F11" s="982">
        <v>33361.370371844998</v>
      </c>
      <c r="G11" s="982">
        <v>28090.3986</v>
      </c>
      <c r="H11" s="983">
        <v>63.841814999999997</v>
      </c>
      <c r="I11" s="990">
        <f t="shared" si="5"/>
        <v>27122.875893674995</v>
      </c>
      <c r="J11" s="990">
        <f t="shared" si="6"/>
        <v>34168.286616801655</v>
      </c>
      <c r="K11" s="990">
        <f t="shared" si="7"/>
        <v>29379.747895740002</v>
      </c>
      <c r="L11" s="984">
        <v>15</v>
      </c>
      <c r="M11" s="979">
        <v>2.8149999999999999</v>
      </c>
      <c r="N11">
        <v>4.66</v>
      </c>
      <c r="O11" s="984">
        <f t="shared" si="0"/>
        <v>1553.8963414634145</v>
      </c>
      <c r="P11" s="990">
        <f t="shared" si="1"/>
        <v>26877.737654853237</v>
      </c>
      <c r="Q11" s="984">
        <f t="shared" si="2"/>
        <v>7.8434705000000005</v>
      </c>
      <c r="R11" s="990">
        <f t="shared" si="8"/>
        <v>24636.476516852708</v>
      </c>
      <c r="S11" s="985">
        <f t="shared" si="9"/>
        <v>1446.1036585365855</v>
      </c>
      <c r="T11" s="986">
        <f t="shared" si="10"/>
        <v>0.48203455284552849</v>
      </c>
      <c r="U11" s="987">
        <f t="shared" si="11"/>
        <v>0.51796544715447146</v>
      </c>
      <c r="V11" s="995">
        <f t="shared" si="12"/>
        <v>25797.372344387091</v>
      </c>
      <c r="W11" s="995">
        <f t="shared" si="3"/>
        <v>34103.66608870952</v>
      </c>
      <c r="X11" s="990">
        <f t="shared" si="13"/>
        <v>26743.261986573205</v>
      </c>
      <c r="Y11" s="990">
        <f t="shared" si="14"/>
        <v>27927.254033858248</v>
      </c>
      <c r="Z11" s="990">
        <f t="shared" si="4"/>
        <v>34181.021289199045</v>
      </c>
      <c r="AD11" s="993"/>
    </row>
    <row r="12" spans="1:34" s="979" customFormat="1">
      <c r="D12" s="981">
        <v>42186</v>
      </c>
      <c r="E12" s="982">
        <v>25144.696305000001</v>
      </c>
      <c r="F12" s="982">
        <v>28694.87279343</v>
      </c>
      <c r="G12" s="982">
        <v>27054.420075000002</v>
      </c>
      <c r="H12" s="983">
        <v>63.657459000000003</v>
      </c>
      <c r="I12" s="990">
        <f t="shared" si="5"/>
        <v>26376.786423944999</v>
      </c>
      <c r="J12" s="990">
        <f t="shared" si="6"/>
        <v>29309.699932355223</v>
      </c>
      <c r="K12" s="990">
        <f t="shared" si="7"/>
        <v>28296.217956442502</v>
      </c>
      <c r="L12" s="984">
        <v>9.3409090909090917</v>
      </c>
      <c r="M12" s="979">
        <v>2.7730000000000001</v>
      </c>
      <c r="N12">
        <v>4.66</v>
      </c>
      <c r="O12" s="984">
        <f t="shared" si="0"/>
        <v>1553.8963414634145</v>
      </c>
      <c r="P12" s="990">
        <f t="shared" si="1"/>
        <v>26833.652476261464</v>
      </c>
      <c r="Q12" s="984">
        <f t="shared" si="2"/>
        <v>7.7880011000000007</v>
      </c>
      <c r="R12" s="990">
        <f t="shared" si="8"/>
        <v>24391.606547188087</v>
      </c>
      <c r="S12" s="985">
        <f t="shared" si="9"/>
        <v>1446.1036585365855</v>
      </c>
      <c r="T12" s="986">
        <f t="shared" si="10"/>
        <v>0.48203455284552849</v>
      </c>
      <c r="U12" s="987">
        <f t="shared" si="11"/>
        <v>0.51796544715447146</v>
      </c>
      <c r="V12" s="995">
        <f t="shared" si="12"/>
        <v>25656.501958812332</v>
      </c>
      <c r="W12" s="995">
        <f t="shared" si="3"/>
        <v>29313.459758319121</v>
      </c>
      <c r="X12" s="990">
        <f t="shared" si="13"/>
        <v>26687.129720517063</v>
      </c>
      <c r="Y12" s="990">
        <f t="shared" si="14"/>
        <v>27159.037925993551</v>
      </c>
      <c r="Z12" s="990">
        <f t="shared" si="4"/>
        <v>29309.998967319803</v>
      </c>
      <c r="AD12" s="1015" t="s">
        <v>652</v>
      </c>
      <c r="AE12" s="979">
        <v>1071</v>
      </c>
      <c r="AF12" s="985">
        <f>AG12/$AE$12</f>
        <v>0.54621848739495793</v>
      </c>
      <c r="AG12" s="985">
        <v>585</v>
      </c>
      <c r="AH12" s="979" t="s">
        <v>648</v>
      </c>
    </row>
    <row r="13" spans="1:34" s="979" customFormat="1">
      <c r="D13" s="981">
        <v>42217</v>
      </c>
      <c r="E13" s="982">
        <v>23763.108920000002</v>
      </c>
      <c r="F13" s="982">
        <v>25457.841764648001</v>
      </c>
      <c r="G13" s="982">
        <v>26041.763200000001</v>
      </c>
      <c r="H13" s="983">
        <v>65.104408000000006</v>
      </c>
      <c r="I13" s="990">
        <f t="shared" si="5"/>
        <v>24927.501257080003</v>
      </c>
      <c r="J13" s="990">
        <f t="shared" si="6"/>
        <v>26025.371326771783</v>
      </c>
      <c r="K13" s="990">
        <f t="shared" si="7"/>
        <v>27237.080130880004</v>
      </c>
      <c r="L13" s="984">
        <v>8.0526315789473681</v>
      </c>
      <c r="M13" s="979">
        <v>2.8860000000000001</v>
      </c>
      <c r="N13">
        <v>4.66</v>
      </c>
      <c r="O13" s="984">
        <f t="shared" si="0"/>
        <v>1553.8963414634145</v>
      </c>
      <c r="P13" s="990">
        <f t="shared" si="1"/>
        <v>27179.662397707976</v>
      </c>
      <c r="Q13" s="984">
        <f t="shared" si="2"/>
        <v>7.9372401999999997</v>
      </c>
      <c r="R13" s="990">
        <f t="shared" si="8"/>
        <v>25424.066759240242</v>
      </c>
      <c r="S13" s="985">
        <f t="shared" si="9"/>
        <v>1446.1036585365855</v>
      </c>
      <c r="T13" s="986">
        <f t="shared" si="10"/>
        <v>0.48203455284552849</v>
      </c>
      <c r="U13" s="987">
        <f t="shared" si="11"/>
        <v>0.51796544715447146</v>
      </c>
      <c r="V13" s="995">
        <f t="shared" si="12"/>
        <v>26333.40463914162</v>
      </c>
      <c r="W13" s="995">
        <f t="shared" si="3"/>
        <v>26038.256535514149</v>
      </c>
      <c r="X13" s="990">
        <f t="shared" si="13"/>
        <v>27074.326659399911</v>
      </c>
      <c r="Y13" s="990">
        <f t="shared" si="14"/>
        <v>25666.771575581202</v>
      </c>
      <c r="Z13" s="990">
        <f t="shared" si="4"/>
        <v>26024.033536862116</v>
      </c>
      <c r="AD13" s="1015"/>
      <c r="AF13" s="985">
        <f t="shared" ref="AF13:AF14" si="16">AG13/$AE$12</f>
        <v>0.22408963585434175</v>
      </c>
      <c r="AG13" s="985">
        <v>240</v>
      </c>
      <c r="AH13" s="979" t="s">
        <v>649</v>
      </c>
    </row>
    <row r="14" spans="1:34" s="979" customFormat="1">
      <c r="D14" s="981">
        <v>42248</v>
      </c>
      <c r="E14" s="982">
        <v>20857.31424</v>
      </c>
      <c r="F14" s="982">
        <v>27145.496521728001</v>
      </c>
      <c r="G14" s="982">
        <v>22843.725119999999</v>
      </c>
      <c r="H14" s="983">
        <v>66.213695999999999</v>
      </c>
      <c r="I14" s="990">
        <f t="shared" si="5"/>
        <v>21879.322637759997</v>
      </c>
      <c r="J14" s="990">
        <f t="shared" si="6"/>
        <v>27716.795335953255</v>
      </c>
      <c r="K14" s="990">
        <f t="shared" si="7"/>
        <v>23892.252103007999</v>
      </c>
      <c r="L14" s="984">
        <v>7.6</v>
      </c>
      <c r="M14" s="979">
        <v>2.6379999999999999</v>
      </c>
      <c r="N14">
        <v>4.66</v>
      </c>
      <c r="O14" s="984">
        <f t="shared" si="0"/>
        <v>1553.8963414634145</v>
      </c>
      <c r="P14" s="990">
        <f t="shared" si="1"/>
        <v>27444.927209212419</v>
      </c>
      <c r="Q14" s="984">
        <f t="shared" si="2"/>
        <v>7.6097066</v>
      </c>
      <c r="R14" s="990">
        <f t="shared" si="8"/>
        <v>24790.246533510406</v>
      </c>
      <c r="S14" s="985">
        <f t="shared" si="9"/>
        <v>1446.1036585365855</v>
      </c>
      <c r="T14" s="986">
        <f t="shared" si="10"/>
        <v>0.48203455284552849</v>
      </c>
      <c r="U14" s="987">
        <f t="shared" si="11"/>
        <v>0.51796544715447146</v>
      </c>
      <c r="V14" s="995">
        <f t="shared" si="12"/>
        <v>26165.279396752732</v>
      </c>
      <c r="W14" s="995">
        <f t="shared" si="3"/>
        <v>27739.527991571038</v>
      </c>
      <c r="X14" s="990">
        <f t="shared" si="13"/>
        <v>27285.646368670299</v>
      </c>
      <c r="Y14" s="990">
        <f t="shared" si="14"/>
        <v>22528.1936837664</v>
      </c>
      <c r="Z14" s="990">
        <f t="shared" si="4"/>
        <v>27713.684224530094</v>
      </c>
      <c r="AD14" s="1015"/>
      <c r="AF14" s="985">
        <f t="shared" si="16"/>
        <v>0.22969187675070027</v>
      </c>
      <c r="AG14" s="985">
        <f>AE12-AG12-AG13</f>
        <v>246</v>
      </c>
      <c r="AH14" s="979" t="s">
        <v>650</v>
      </c>
    </row>
    <row r="15" spans="1:34" s="979" customFormat="1">
      <c r="D15" s="981">
        <v>42278</v>
      </c>
      <c r="E15" s="982">
        <v>23427.191519999997</v>
      </c>
      <c r="F15" s="982">
        <v>28113.736108043999</v>
      </c>
      <c r="G15" s="982">
        <v>23752.569179999999</v>
      </c>
      <c r="H15" s="983">
        <v>65.075531999999995</v>
      </c>
      <c r="I15" s="990">
        <f t="shared" si="5"/>
        <v>24575.123904479995</v>
      </c>
      <c r="J15" s="990">
        <f t="shared" si="6"/>
        <v>28821.397208264538</v>
      </c>
      <c r="K15" s="990">
        <f t="shared" si="7"/>
        <v>24842.812105361998</v>
      </c>
      <c r="L15" s="984">
        <v>12.295454545454545</v>
      </c>
      <c r="M15" s="979">
        <v>2.5630000000000002</v>
      </c>
      <c r="N15">
        <v>4.66</v>
      </c>
      <c r="O15" s="984">
        <f t="shared" si="0"/>
        <v>1553.8963414634145</v>
      </c>
      <c r="P15" s="990">
        <f t="shared" si="1"/>
        <v>27172.757259730271</v>
      </c>
      <c r="Q15" s="984">
        <f t="shared" si="2"/>
        <v>7.5106541</v>
      </c>
      <c r="R15" s="990">
        <f t="shared" si="8"/>
        <v>24046.982712293673</v>
      </c>
      <c r="S15" s="985">
        <f t="shared" si="9"/>
        <v>1446.1036585365855</v>
      </c>
      <c r="T15" s="986">
        <f t="shared" si="10"/>
        <v>0.48203455284552849</v>
      </c>
      <c r="U15" s="987">
        <f t="shared" si="11"/>
        <v>0.51796544715447146</v>
      </c>
      <c r="V15" s="995">
        <f t="shared" si="12"/>
        <v>25666.025923460737</v>
      </c>
      <c r="W15" s="995">
        <f t="shared" si="3"/>
        <v>28779.988419928402</v>
      </c>
      <c r="X15" s="990">
        <f t="shared" si="13"/>
        <v>26985.210786884072</v>
      </c>
      <c r="Y15" s="990">
        <f t="shared" si="14"/>
        <v>25303.943832667195</v>
      </c>
      <c r="Z15" s="990">
        <f t="shared" si="4"/>
        <v>28829.930608446888</v>
      </c>
    </row>
    <row r="16" spans="1:34" s="979" customFormat="1">
      <c r="D16" s="981">
        <v>42309</v>
      </c>
      <c r="E16" s="982">
        <v>26138.67628</v>
      </c>
      <c r="F16" s="982">
        <v>28336.111781847998</v>
      </c>
      <c r="G16" s="982">
        <v>28785.630839999998</v>
      </c>
      <c r="H16" s="983">
        <v>66.173863999999995</v>
      </c>
      <c r="I16" s="990">
        <f t="shared" si="5"/>
        <v>27419.471417719997</v>
      </c>
      <c r="J16" s="990">
        <f t="shared" si="6"/>
        <v>29085.593812327377</v>
      </c>
      <c r="K16" s="990">
        <f t="shared" si="7"/>
        <v>30106.891295556001</v>
      </c>
      <c r="L16" s="984">
        <v>13.35</v>
      </c>
      <c r="M16" s="979">
        <v>2.0329999999999999</v>
      </c>
      <c r="N16">
        <v>4.66</v>
      </c>
      <c r="O16" s="984">
        <f t="shared" si="0"/>
        <v>1553.8963414634145</v>
      </c>
      <c r="P16" s="990">
        <f t="shared" si="1"/>
        <v>27435.402155329346</v>
      </c>
      <c r="Q16" s="984">
        <f t="shared" si="2"/>
        <v>6.8106831000000003</v>
      </c>
      <c r="R16" s="990">
        <f t="shared" si="8"/>
        <v>22173.909486559722</v>
      </c>
      <c r="S16" s="985">
        <f t="shared" si="9"/>
        <v>1446.1036585365855</v>
      </c>
      <c r="T16" s="986">
        <f t="shared" si="10"/>
        <v>0.48203455284552849</v>
      </c>
      <c r="U16" s="987">
        <f t="shared" si="11"/>
        <v>0.51796544715447146</v>
      </c>
      <c r="V16" s="995">
        <f t="shared" si="12"/>
        <v>24899.180889438954</v>
      </c>
      <c r="W16" s="995">
        <f t="shared" si="3"/>
        <v>29027.523661916253</v>
      </c>
      <c r="X16" s="990">
        <f t="shared" si="13"/>
        <v>27119.712595203164</v>
      </c>
      <c r="Y16" s="990">
        <f t="shared" si="14"/>
        <v>28232.645636790799</v>
      </c>
      <c r="Z16" s="990">
        <f t="shared" si="4"/>
        <v>29097.173505320963</v>
      </c>
    </row>
    <row r="17" spans="1:26" s="979" customFormat="1">
      <c r="D17" s="981">
        <v>42339</v>
      </c>
      <c r="E17" s="982">
        <v>30611.81366</v>
      </c>
      <c r="F17" s="982">
        <v>26117.666677606998</v>
      </c>
      <c r="G17" s="982">
        <v>31610.024975</v>
      </c>
      <c r="H17" s="983">
        <v>66.547421</v>
      </c>
      <c r="I17" s="990">
        <f t="shared" si="5"/>
        <v>32111.792529339997</v>
      </c>
      <c r="J17" s="990">
        <f t="shared" si="6"/>
        <v>26875.094171062592</v>
      </c>
      <c r="K17" s="990">
        <f t="shared" si="7"/>
        <v>33060.925121352499</v>
      </c>
      <c r="L17" s="984">
        <v>13.954545454545455</v>
      </c>
      <c r="M17" s="979">
        <v>2.206</v>
      </c>
      <c r="N17">
        <v>3.82</v>
      </c>
      <c r="O17" s="984">
        <f t="shared" si="0"/>
        <v>1553.8963414634145</v>
      </c>
      <c r="P17" s="990">
        <f t="shared" si="1"/>
        <v>24656.197597598231</v>
      </c>
      <c r="Q17" s="984">
        <f t="shared" si="2"/>
        <v>7.0391642000000001</v>
      </c>
      <c r="R17" s="990">
        <f t="shared" si="8"/>
        <v>23047.160596471989</v>
      </c>
      <c r="S17" s="985">
        <f t="shared" si="9"/>
        <v>1446.1036585365855</v>
      </c>
      <c r="T17" s="986">
        <f t="shared" si="10"/>
        <v>0.48203455284552849</v>
      </c>
      <c r="U17" s="987">
        <f t="shared" si="11"/>
        <v>0.51796544715447146</v>
      </c>
      <c r="V17" s="995">
        <f t="shared" si="12"/>
        <v>23880.586166248431</v>
      </c>
      <c r="W17" s="995">
        <f t="shared" si="3"/>
        <v>26802.089663119601</v>
      </c>
      <c r="X17" s="990">
        <f t="shared" si="13"/>
        <v>24559.655377530657</v>
      </c>
      <c r="Y17" s="990">
        <f t="shared" si="14"/>
        <v>33064.126052302599</v>
      </c>
      <c r="Z17" s="990">
        <f t="shared" si="4"/>
        <v>26889.394968150933</v>
      </c>
    </row>
    <row r="18" spans="1:26">
      <c r="A18">
        <v>1</v>
      </c>
      <c r="B18">
        <v>2016</v>
      </c>
      <c r="C18" t="s">
        <v>632</v>
      </c>
      <c r="D18" s="988">
        <f>DATE(B18,A18,1)</f>
        <v>42370</v>
      </c>
      <c r="E18" s="984">
        <v>23292</v>
      </c>
      <c r="F18" s="984">
        <v>21164</v>
      </c>
      <c r="G18" s="984">
        <v>26330</v>
      </c>
      <c r="H18" s="984">
        <f>VLOOKUP(D18,'[8]$ to INR'!$R$3:$S$131,2,TRUE)</f>
        <v>67.57180000000001</v>
      </c>
      <c r="I18" s="990">
        <f>1.0459*E18</f>
        <v>24361.102800000001</v>
      </c>
      <c r="J18" s="990">
        <f t="shared" si="6"/>
        <v>21835.930996789997</v>
      </c>
      <c r="K18" s="990">
        <v>27538</v>
      </c>
      <c r="L18" s="984">
        <v>11.824999999999999</v>
      </c>
      <c r="M18" s="989">
        <v>2.327</v>
      </c>
      <c r="N18" s="984">
        <v>3.82</v>
      </c>
      <c r="O18" s="984">
        <f>1.95*39206/49.2</f>
        <v>1553.8963414634145</v>
      </c>
      <c r="P18" s="990">
        <f>(1.043*N18*H18+236)*49.2</f>
        <v>24857.002097505603</v>
      </c>
      <c r="Q18" s="984">
        <f>1.3207*M18 + 4.1257</f>
        <v>7.1989689000000006</v>
      </c>
      <c r="R18" s="990">
        <f t="shared" si="8"/>
        <v>23933.206506477389</v>
      </c>
      <c r="S18" s="985">
        <f t="shared" si="9"/>
        <v>1446.1036585365855</v>
      </c>
      <c r="T18" s="986">
        <f t="shared" si="10"/>
        <v>0.48203455284552849</v>
      </c>
      <c r="U18" s="987">
        <f t="shared" si="11"/>
        <v>0.51796544715447146</v>
      </c>
      <c r="V18" s="995">
        <f t="shared" si="12"/>
        <v>24411.700702863644</v>
      </c>
      <c r="W18" s="995">
        <f t="shared" si="3"/>
        <v>21780.499304849996</v>
      </c>
      <c r="X18" s="990">
        <f t="shared" si="13"/>
        <v>24801.57436204391</v>
      </c>
      <c r="Y18" s="990">
        <f t="shared" si="14"/>
        <v>25129.762092000001</v>
      </c>
      <c r="Z18" s="990">
        <f t="shared" si="4"/>
        <v>21847.052549109998</v>
      </c>
    </row>
    <row r="19" spans="1:26">
      <c r="A19">
        <v>2</v>
      </c>
      <c r="B19">
        <v>2016</v>
      </c>
      <c r="C19" t="s">
        <v>633</v>
      </c>
      <c r="D19" s="988">
        <f t="shared" ref="D19:D82" si="17">DATE(B19,A19,1)</f>
        <v>42401</v>
      </c>
      <c r="E19" s="984">
        <v>19451</v>
      </c>
      <c r="F19" s="984">
        <v>20164</v>
      </c>
      <c r="G19" s="984">
        <v>21499</v>
      </c>
      <c r="H19" s="984">
        <f>VLOOKUP(D19,'[8]$ to INR'!$R$3:$S$131,2,TRUE)</f>
        <v>68.084500000000006</v>
      </c>
      <c r="I19" s="990">
        <f t="shared" ref="I19:I82" si="18">1.0459*E19</f>
        <v>20343.800900000002</v>
      </c>
      <c r="J19" s="990">
        <f t="shared" si="6"/>
        <v>20764.386864231579</v>
      </c>
      <c r="K19" s="990">
        <v>22486</v>
      </c>
      <c r="L19" s="984">
        <v>9.5526315789473681</v>
      </c>
      <c r="M19" s="984">
        <v>2.1890000000000001</v>
      </c>
      <c r="N19" s="984">
        <v>3.82</v>
      </c>
      <c r="O19" s="984">
        <f t="shared" ref="O19:O82" si="19">1.95*39206/49.2</f>
        <v>1553.8963414634145</v>
      </c>
      <c r="P19" s="990">
        <f t="shared" ref="P19:P82" si="20">(1.043*N19*H19+236)*49.2</f>
        <v>24957.504418524</v>
      </c>
      <c r="Q19" s="984">
        <f t="shared" ref="Q19:Q82" si="21">1.3207*M19 + 4.1257</f>
        <v>7.0167123</v>
      </c>
      <c r="R19" s="990">
        <f t="shared" si="8"/>
        <v>23504.283950596022</v>
      </c>
      <c r="S19" s="985">
        <f t="shared" si="9"/>
        <v>1446.1036585365855</v>
      </c>
      <c r="T19" s="986">
        <f t="shared" si="10"/>
        <v>0.48203455284552849</v>
      </c>
      <c r="U19" s="987">
        <f t="shared" si="11"/>
        <v>0.51796544715447146</v>
      </c>
      <c r="V19" s="995">
        <f t="shared" si="12"/>
        <v>24257.001940080365</v>
      </c>
      <c r="W19" s="995">
        <f t="shared" si="3"/>
        <v>20739.762852789474</v>
      </c>
      <c r="X19" s="990">
        <f t="shared" si="13"/>
        <v>24870.311190448319</v>
      </c>
      <c r="Y19" s="990">
        <f t="shared" si="14"/>
        <v>20985.703351000004</v>
      </c>
      <c r="Z19" s="990">
        <f t="shared" si="4"/>
        <v>20769.914934321052</v>
      </c>
    </row>
    <row r="20" spans="1:26">
      <c r="A20">
        <v>3</v>
      </c>
      <c r="B20">
        <v>2016</v>
      </c>
      <c r="C20" t="s">
        <v>634</v>
      </c>
      <c r="D20" s="988">
        <f t="shared" si="17"/>
        <v>42430</v>
      </c>
      <c r="E20" s="984">
        <v>19338</v>
      </c>
      <c r="F20" s="984">
        <v>22852</v>
      </c>
      <c r="G20" s="984">
        <v>21339</v>
      </c>
      <c r="H20" s="984">
        <f>VLOOKUP(D20,'[8]$ to INR'!$R$3:$S$131,2,TRUE)</f>
        <v>66.624750000000006</v>
      </c>
      <c r="I20" s="990">
        <f t="shared" si="18"/>
        <v>20225.6142</v>
      </c>
      <c r="J20" s="990">
        <f t="shared" si="6"/>
        <v>23240.132541913634</v>
      </c>
      <c r="K20" s="990">
        <v>22318</v>
      </c>
      <c r="L20" s="984">
        <v>2.2727272727272729</v>
      </c>
      <c r="M20" s="984">
        <v>1.7110000000000001</v>
      </c>
      <c r="N20" s="984">
        <v>3.82</v>
      </c>
      <c r="O20" s="984">
        <f t="shared" si="19"/>
        <v>1553.8963414634145</v>
      </c>
      <c r="P20" s="990">
        <f t="shared" si="20"/>
        <v>24671.356060602</v>
      </c>
      <c r="Q20" s="984">
        <f t="shared" si="21"/>
        <v>6.3854176999999996</v>
      </c>
      <c r="R20" s="990">
        <f t="shared" si="8"/>
        <v>20931.001409077293</v>
      </c>
      <c r="S20" s="985">
        <f t="shared" si="9"/>
        <v>1446.1036585365855</v>
      </c>
      <c r="T20" s="986">
        <f t="shared" si="10"/>
        <v>0.48203455284552849</v>
      </c>
      <c r="U20" s="987">
        <f t="shared" si="11"/>
        <v>0.51796544715447146</v>
      </c>
      <c r="V20" s="995">
        <f t="shared" si="12"/>
        <v>22868.375878670595</v>
      </c>
      <c r="W20" s="995">
        <f t="shared" si="3"/>
        <v>23330.292451113633</v>
      </c>
      <c r="X20" s="990">
        <f t="shared" si="13"/>
        <v>24446.934781510517</v>
      </c>
      <c r="Y20" s="990">
        <f t="shared" si="14"/>
        <v>20863.787538</v>
      </c>
      <c r="Z20" s="990">
        <f t="shared" si="4"/>
        <v>23224.768275018178</v>
      </c>
    </row>
    <row r="21" spans="1:26">
      <c r="A21">
        <v>4</v>
      </c>
      <c r="B21">
        <v>2016</v>
      </c>
      <c r="C21" t="s">
        <v>635</v>
      </c>
      <c r="D21" s="988">
        <f t="shared" si="17"/>
        <v>42461</v>
      </c>
      <c r="E21" s="984">
        <v>21300</v>
      </c>
      <c r="F21" s="984">
        <v>24763</v>
      </c>
      <c r="G21" s="984">
        <v>23297</v>
      </c>
      <c r="H21" s="984">
        <f>VLOOKUP(D21,'[8]$ to INR'!$R$3:$S$131,2,TRUE)</f>
        <v>66.573999999999998</v>
      </c>
      <c r="I21" s="990">
        <f t="shared" si="18"/>
        <v>22277.670000000002</v>
      </c>
      <c r="J21" s="990">
        <f t="shared" si="6"/>
        <v>25372.244275057143</v>
      </c>
      <c r="K21" s="990">
        <v>24367</v>
      </c>
      <c r="L21" s="984">
        <v>9.2738095238095237</v>
      </c>
      <c r="M21" s="984">
        <v>1.903</v>
      </c>
      <c r="N21" s="984">
        <v>3.06</v>
      </c>
      <c r="O21" s="984">
        <f t="shared" si="19"/>
        <v>1553.8963414634145</v>
      </c>
      <c r="P21" s="990">
        <f t="shared" si="20"/>
        <v>22065.031348464003</v>
      </c>
      <c r="Q21" s="984">
        <f t="shared" si="21"/>
        <v>6.6389921000000003</v>
      </c>
      <c r="R21" s="990">
        <f t="shared" si="8"/>
        <v>21745.625595217683</v>
      </c>
      <c r="S21" s="985">
        <f t="shared" si="9"/>
        <v>1446.1036585365855</v>
      </c>
      <c r="T21" s="986">
        <f t="shared" si="10"/>
        <v>0.48203455284552849</v>
      </c>
      <c r="U21" s="987">
        <f t="shared" si="11"/>
        <v>0.51796544715447146</v>
      </c>
      <c r="V21" s="995">
        <f t="shared" si="12"/>
        <v>21911.066739021626</v>
      </c>
      <c r="W21" s="995">
        <f t="shared" si="3"/>
        <v>25364.462440904761</v>
      </c>
      <c r="X21" s="990">
        <f t="shared" si="13"/>
        <v>22045.867003269224</v>
      </c>
      <c r="Y21" s="990">
        <f t="shared" si="14"/>
        <v>22980.5913</v>
      </c>
      <c r="Z21" s="990">
        <f t="shared" si="4"/>
        <v>25374.686814466666</v>
      </c>
    </row>
    <row r="22" spans="1:26">
      <c r="A22">
        <v>5</v>
      </c>
      <c r="B22">
        <v>2016</v>
      </c>
      <c r="C22" t="s">
        <v>636</v>
      </c>
      <c r="D22" s="988">
        <f t="shared" si="17"/>
        <v>42491</v>
      </c>
      <c r="E22" s="984">
        <v>21773</v>
      </c>
      <c r="F22" s="984">
        <v>26111</v>
      </c>
      <c r="G22" s="984">
        <v>25458</v>
      </c>
      <c r="H22" s="984">
        <f>VLOOKUP(D22,'[8]$ to INR'!$R$3:$S$131,2,TRUE)</f>
        <v>66.978800000000007</v>
      </c>
      <c r="I22" s="990">
        <f t="shared" si="18"/>
        <v>22772.380700000002</v>
      </c>
      <c r="J22" s="990">
        <f t="shared" si="6"/>
        <v>26632.519080639999</v>
      </c>
      <c r="K22" s="990">
        <v>26626</v>
      </c>
      <c r="L22" s="984">
        <v>6</v>
      </c>
      <c r="M22" s="984">
        <v>1.9950000000000001</v>
      </c>
      <c r="N22" s="984">
        <v>3.06</v>
      </c>
      <c r="O22" s="984">
        <f t="shared" si="19"/>
        <v>1553.8963414634145</v>
      </c>
      <c r="P22" s="990">
        <f t="shared" si="20"/>
        <v>22128.595366396799</v>
      </c>
      <c r="Q22" s="984">
        <f t="shared" si="21"/>
        <v>6.7604965000000004</v>
      </c>
      <c r="R22" s="990">
        <f t="shared" si="8"/>
        <v>22278.249194330645</v>
      </c>
      <c r="S22" s="985">
        <f t="shared" si="9"/>
        <v>1446.1036585365855</v>
      </c>
      <c r="T22" s="986">
        <f t="shared" si="10"/>
        <v>0.48203455284552849</v>
      </c>
      <c r="U22" s="987">
        <f t="shared" si="11"/>
        <v>0.51796544715447146</v>
      </c>
      <c r="V22" s="995">
        <f t="shared" si="12"/>
        <v>22200.733682426511</v>
      </c>
      <c r="W22" s="995">
        <f t="shared" si="3"/>
        <v>26675.828392799998</v>
      </c>
      <c r="X22" s="990">
        <f t="shared" si="13"/>
        <v>22137.574596072831</v>
      </c>
      <c r="Y22" s="990">
        <f t="shared" si="14"/>
        <v>23490.911473</v>
      </c>
      <c r="Z22" s="990">
        <f t="shared" si="4"/>
        <v>26625.678569359996</v>
      </c>
    </row>
    <row r="23" spans="1:26">
      <c r="A23">
        <v>6</v>
      </c>
      <c r="B23">
        <v>2016</v>
      </c>
      <c r="C23" t="s">
        <v>637</v>
      </c>
      <c r="D23" s="988">
        <f t="shared" si="17"/>
        <v>42522</v>
      </c>
      <c r="E23" s="984">
        <v>22190</v>
      </c>
      <c r="F23" s="984">
        <v>27077</v>
      </c>
      <c r="G23" s="984">
        <v>24543</v>
      </c>
      <c r="H23" s="984">
        <f>VLOOKUP(D23,'[8]$ to INR'!$R$3:$S$131,2,TRUE)</f>
        <v>67.27525</v>
      </c>
      <c r="I23" s="990">
        <f t="shared" si="18"/>
        <v>23208.521000000001</v>
      </c>
      <c r="J23" s="990">
        <f t="shared" si="6"/>
        <v>27607.692557773866</v>
      </c>
      <c r="K23" s="990">
        <v>25670</v>
      </c>
      <c r="L23" s="984">
        <v>6.0568181818181817</v>
      </c>
      <c r="M23" s="984">
        <v>1.9630000000000001</v>
      </c>
      <c r="N23" s="984">
        <v>3.06</v>
      </c>
      <c r="O23" s="984">
        <f t="shared" si="19"/>
        <v>1553.8963414634145</v>
      </c>
      <c r="P23" s="990">
        <f t="shared" si="20"/>
        <v>22175.145645834004</v>
      </c>
      <c r="Q23" s="984">
        <f t="shared" si="21"/>
        <v>6.7182341000000001</v>
      </c>
      <c r="R23" s="990">
        <f t="shared" si="8"/>
        <v>22236.96722889243</v>
      </c>
      <c r="S23" s="985">
        <f t="shared" si="9"/>
        <v>1446.1036585365855</v>
      </c>
      <c r="T23" s="986">
        <f t="shared" si="10"/>
        <v>0.48203455284552849</v>
      </c>
      <c r="U23" s="987">
        <f t="shared" si="11"/>
        <v>0.51796544715447146</v>
      </c>
      <c r="V23" s="995">
        <f t="shared" si="12"/>
        <v>22204.945784979776</v>
      </c>
      <c r="W23" s="995">
        <f t="shared" si="3"/>
        <v>27652.410662948863</v>
      </c>
      <c r="X23" s="990">
        <f t="shared" si="13"/>
        <v>22178.854940817506</v>
      </c>
      <c r="Y23" s="990">
        <f t="shared" si="14"/>
        <v>23940.813190000001</v>
      </c>
      <c r="Z23" s="990">
        <f t="shared" si="4"/>
        <v>27600.600478419314</v>
      </c>
    </row>
    <row r="24" spans="1:26">
      <c r="A24">
        <v>7</v>
      </c>
      <c r="B24">
        <v>2016</v>
      </c>
      <c r="C24" t="s">
        <v>638</v>
      </c>
      <c r="D24" s="988">
        <f t="shared" si="17"/>
        <v>42552</v>
      </c>
      <c r="E24" s="984">
        <v>19772</v>
      </c>
      <c r="F24" s="984">
        <v>24660</v>
      </c>
      <c r="G24" s="984">
        <v>20778</v>
      </c>
      <c r="H24" s="984">
        <f>VLOOKUP(D24,'[8]$ to INR'!$R$3:$S$131,2,TRUE)</f>
        <v>66.986199999999997</v>
      </c>
      <c r="I24" s="990">
        <f t="shared" si="18"/>
        <v>20679.534800000001</v>
      </c>
      <c r="J24" s="990">
        <f t="shared" si="6"/>
        <v>25114.000305859998</v>
      </c>
      <c r="K24" s="990">
        <v>21731</v>
      </c>
      <c r="L24" s="984">
        <v>4.05</v>
      </c>
      <c r="M24" s="984">
        <v>2.9169999999999998</v>
      </c>
      <c r="N24" s="984">
        <v>3.06</v>
      </c>
      <c r="O24" s="984">
        <f t="shared" si="19"/>
        <v>1553.8963414634145</v>
      </c>
      <c r="P24" s="990">
        <f t="shared" si="20"/>
        <v>22129.757356843198</v>
      </c>
      <c r="Q24" s="984">
        <f t="shared" si="21"/>
        <v>7.9781819</v>
      </c>
      <c r="R24" s="990">
        <f t="shared" si="8"/>
        <v>26293.861948777176</v>
      </c>
      <c r="S24" s="985">
        <f t="shared" si="9"/>
        <v>1446.1036585365855</v>
      </c>
      <c r="T24" s="986">
        <f t="shared" si="10"/>
        <v>0.48203455284552849</v>
      </c>
      <c r="U24" s="987">
        <f t="shared" si="11"/>
        <v>0.51796544715447146</v>
      </c>
      <c r="V24" s="995">
        <f t="shared" si="12"/>
        <v>24136.999651818103</v>
      </c>
      <c r="W24" s="995">
        <f t="shared" si="3"/>
        <v>25182.533081500002</v>
      </c>
      <c r="X24" s="990">
        <f t="shared" si="13"/>
        <v>22379.603632359234</v>
      </c>
      <c r="Y24" s="990">
        <f t="shared" si="14"/>
        <v>21332.030572000003</v>
      </c>
      <c r="Z24" s="990">
        <f t="shared" si="4"/>
        <v>25102.573824539999</v>
      </c>
    </row>
    <row r="25" spans="1:26">
      <c r="A25">
        <v>8</v>
      </c>
      <c r="B25">
        <v>2016</v>
      </c>
      <c r="C25" t="s">
        <v>639</v>
      </c>
      <c r="D25" s="988">
        <f t="shared" si="17"/>
        <v>42583</v>
      </c>
      <c r="E25" s="984">
        <v>19090</v>
      </c>
      <c r="F25" s="984">
        <v>23688</v>
      </c>
      <c r="G25" s="984">
        <v>19425</v>
      </c>
      <c r="H25" s="984">
        <f>VLOOKUP(D25,'[8]$ to INR'!$R$3:$S$131,2,TRUE)</f>
        <v>66.994</v>
      </c>
      <c r="I25" s="990">
        <f t="shared" si="18"/>
        <v>19966.231</v>
      </c>
      <c r="J25" s="990">
        <f t="shared" si="6"/>
        <v>23897.580428654546</v>
      </c>
      <c r="K25" s="990">
        <v>20316</v>
      </c>
      <c r="L25" s="984">
        <v>-3.8636363636363638</v>
      </c>
      <c r="M25" s="984">
        <v>2.6720000000000002</v>
      </c>
      <c r="N25" s="984">
        <v>3.06</v>
      </c>
      <c r="O25" s="984">
        <f t="shared" si="19"/>
        <v>1553.8963414634145</v>
      </c>
      <c r="P25" s="990">
        <f t="shared" si="20"/>
        <v>22130.982157584003</v>
      </c>
      <c r="Q25" s="984">
        <f t="shared" si="21"/>
        <v>7.6546104000000001</v>
      </c>
      <c r="R25" s="990">
        <f t="shared" si="8"/>
        <v>25230.398081569921</v>
      </c>
      <c r="S25" s="985">
        <f t="shared" si="9"/>
        <v>1446.1036585365855</v>
      </c>
      <c r="T25" s="986">
        <f t="shared" si="10"/>
        <v>0.48203455284552849</v>
      </c>
      <c r="U25" s="987">
        <f t="shared" si="11"/>
        <v>0.51796544715447146</v>
      </c>
      <c r="V25" s="995">
        <f t="shared" si="12"/>
        <v>23625.007726584867</v>
      </c>
      <c r="W25" s="995">
        <f t="shared" si="3"/>
        <v>24080.398549454549</v>
      </c>
      <c r="X25" s="990">
        <f t="shared" si="13"/>
        <v>22316.947113023158</v>
      </c>
      <c r="Y25" s="990">
        <f t="shared" si="14"/>
        <v>20596.220090000003</v>
      </c>
      <c r="Z25" s="990">
        <f t="shared" si="4"/>
        <v>23865.374914072723</v>
      </c>
    </row>
    <row r="26" spans="1:26">
      <c r="A26">
        <v>9</v>
      </c>
      <c r="B26">
        <v>2016</v>
      </c>
      <c r="C26" t="s">
        <v>640</v>
      </c>
      <c r="D26" s="988">
        <f t="shared" si="17"/>
        <v>42614</v>
      </c>
      <c r="E26" s="984">
        <v>19704</v>
      </c>
      <c r="F26" s="984">
        <v>25254</v>
      </c>
      <c r="G26" s="984">
        <v>21374</v>
      </c>
      <c r="H26" s="984">
        <f>VLOOKUP(D26,'[8]$ to INR'!$R$3:$S$131,2,TRUE)</f>
        <v>66.808250000000001</v>
      </c>
      <c r="I26" s="990">
        <f t="shared" si="18"/>
        <v>20608.4136</v>
      </c>
      <c r="J26" s="990">
        <f t="shared" si="6"/>
        <v>25558.962531850004</v>
      </c>
      <c r="K26" s="990">
        <v>22355</v>
      </c>
      <c r="L26" s="984">
        <v>-1</v>
      </c>
      <c r="M26" s="984">
        <v>2.8530000000000002</v>
      </c>
      <c r="N26" s="984">
        <v>3.06</v>
      </c>
      <c r="O26" s="984">
        <f t="shared" si="19"/>
        <v>1553.8963414634145</v>
      </c>
      <c r="P26" s="990">
        <f t="shared" si="20"/>
        <v>22101.814627121999</v>
      </c>
      <c r="Q26" s="984">
        <f t="shared" si="21"/>
        <v>7.8936571000000004</v>
      </c>
      <c r="R26" s="990">
        <f t="shared" si="8"/>
        <v>25946.181713992893</v>
      </c>
      <c r="S26" s="985">
        <f t="shared" si="9"/>
        <v>1446.1036585365855</v>
      </c>
      <c r="T26" s="986">
        <f t="shared" si="10"/>
        <v>0.48203455284552849</v>
      </c>
      <c r="U26" s="987">
        <f t="shared" si="11"/>
        <v>0.51796544715447146</v>
      </c>
      <c r="V26" s="995">
        <f t="shared" si="12"/>
        <v>23954.932396815879</v>
      </c>
      <c r="W26" s="995">
        <f t="shared" si="3"/>
        <v>25703.133228250001</v>
      </c>
      <c r="X26" s="990">
        <f t="shared" si="13"/>
        <v>22332.476652334251</v>
      </c>
      <c r="Y26" s="990">
        <f t="shared" si="14"/>
        <v>21258.665304000002</v>
      </c>
      <c r="Z26" s="990">
        <f t="shared" si="4"/>
        <v>25533.780954399997</v>
      </c>
    </row>
    <row r="27" spans="1:26">
      <c r="A27">
        <v>10</v>
      </c>
      <c r="B27">
        <v>2016</v>
      </c>
      <c r="C27" t="s">
        <v>641</v>
      </c>
      <c r="D27" s="988">
        <f t="shared" si="17"/>
        <v>42644</v>
      </c>
      <c r="E27" s="984">
        <v>22698</v>
      </c>
      <c r="F27" s="984">
        <v>28278</v>
      </c>
      <c r="G27" s="984">
        <v>24700</v>
      </c>
      <c r="H27" s="984">
        <f>VLOOKUP(D27,'[8]$ to INR'!$R$3:$S$131,2,TRUE)</f>
        <v>66.763800000000003</v>
      </c>
      <c r="I27" s="990">
        <f t="shared" si="18"/>
        <v>23739.838200000002</v>
      </c>
      <c r="J27" s="990">
        <f t="shared" si="6"/>
        <v>28655.52129221143</v>
      </c>
      <c r="K27" s="990">
        <v>25834</v>
      </c>
      <c r="L27" s="984">
        <v>0.80952380952380953</v>
      </c>
      <c r="M27" s="984">
        <v>2.952</v>
      </c>
      <c r="N27" s="984">
        <v>2.5</v>
      </c>
      <c r="O27" s="984">
        <f t="shared" si="19"/>
        <v>1553.8963414634145</v>
      </c>
      <c r="P27" s="990">
        <f t="shared" si="20"/>
        <v>20176.261138200003</v>
      </c>
      <c r="Q27" s="984">
        <f t="shared" si="21"/>
        <v>8.0244064000000002</v>
      </c>
      <c r="R27" s="990">
        <f t="shared" si="8"/>
        <v>26358.401309209345</v>
      </c>
      <c r="S27" s="985">
        <f t="shared" si="9"/>
        <v>1446.1036585365855</v>
      </c>
      <c r="T27" s="986">
        <f t="shared" si="10"/>
        <v>0.48203455284552849</v>
      </c>
      <c r="U27" s="987">
        <f t="shared" si="11"/>
        <v>0.51796544715447146</v>
      </c>
      <c r="V27" s="995">
        <f t="shared" si="12"/>
        <v>23156.266311160871</v>
      </c>
      <c r="W27" s="995">
        <f t="shared" si="3"/>
        <v>28780.376457514285</v>
      </c>
      <c r="X27" s="990">
        <f t="shared" si="13"/>
        <v>20547.189548460563</v>
      </c>
      <c r="Y27" s="990">
        <f t="shared" si="14"/>
        <v>24488.894897999999</v>
      </c>
      <c r="Z27" s="990">
        <f t="shared" si="4"/>
        <v>28633.850943359997</v>
      </c>
    </row>
    <row r="28" spans="1:26">
      <c r="A28">
        <v>11</v>
      </c>
      <c r="B28">
        <v>2016</v>
      </c>
      <c r="C28" t="s">
        <v>642</v>
      </c>
      <c r="D28" s="988">
        <f t="shared" si="17"/>
        <v>42675</v>
      </c>
      <c r="E28" s="984">
        <v>26461</v>
      </c>
      <c r="F28" s="984">
        <v>28018</v>
      </c>
      <c r="G28" s="984">
        <v>29853</v>
      </c>
      <c r="H28" s="984">
        <f>VLOOKUP(D28,'[8]$ to INR'!$R$3:$S$131,2,TRUE)</f>
        <v>68.07650000000001</v>
      </c>
      <c r="I28" s="990">
        <f t="shared" si="18"/>
        <v>27675.5599</v>
      </c>
      <c r="J28" s="990">
        <f t="shared" si="6"/>
        <v>28612.713481245453</v>
      </c>
      <c r="K28" s="990">
        <v>31223</v>
      </c>
      <c r="L28" s="984">
        <v>7.8181818181818183</v>
      </c>
      <c r="M28" s="984">
        <v>2.7639999999999998</v>
      </c>
      <c r="N28" s="984">
        <v>2.5</v>
      </c>
      <c r="O28" s="984">
        <f t="shared" si="19"/>
        <v>1553.8963414634145</v>
      </c>
      <c r="P28" s="990">
        <f t="shared" si="20"/>
        <v>20344.666108500001</v>
      </c>
      <c r="Q28" s="984">
        <f t="shared" si="21"/>
        <v>7.7761148000000002</v>
      </c>
      <c r="R28" s="990">
        <f t="shared" si="8"/>
        <v>26045.037415764247</v>
      </c>
      <c r="S28" s="985">
        <f t="shared" si="9"/>
        <v>1446.1036585365855</v>
      </c>
      <c r="T28" s="986">
        <f t="shared" si="10"/>
        <v>0.48203455284552849</v>
      </c>
      <c r="U28" s="987">
        <f t="shared" si="11"/>
        <v>0.51796544715447146</v>
      </c>
      <c r="V28" s="995">
        <f t="shared" si="12"/>
        <v>23092.4420426506</v>
      </c>
      <c r="W28" s="995">
        <f t="shared" si="3"/>
        <v>28633.081336045456</v>
      </c>
      <c r="X28" s="990">
        <f t="shared" si="13"/>
        <v>20686.688386935857</v>
      </c>
      <c r="Y28" s="990">
        <f t="shared" si="14"/>
        <v>28548.799361000005</v>
      </c>
      <c r="Z28" s="990">
        <f t="shared" si="4"/>
        <v>28610.061088527269</v>
      </c>
    </row>
    <row r="29" spans="1:26">
      <c r="A29">
        <v>12</v>
      </c>
      <c r="B29">
        <v>2016</v>
      </c>
      <c r="C29" t="s">
        <v>643</v>
      </c>
      <c r="D29" s="988">
        <f t="shared" si="17"/>
        <v>42705</v>
      </c>
      <c r="E29" s="984">
        <v>25762</v>
      </c>
      <c r="F29" s="984">
        <v>30960</v>
      </c>
      <c r="G29" s="984">
        <v>28474</v>
      </c>
      <c r="H29" s="984">
        <f>VLOOKUP(D29,'[8]$ to INR'!$R$3:$S$131,2,TRUE)</f>
        <v>67.77924999999999</v>
      </c>
      <c r="I29" s="990">
        <f t="shared" si="18"/>
        <v>26944.4758</v>
      </c>
      <c r="J29" s="990">
        <f t="shared" si="6"/>
        <v>31439.674763149997</v>
      </c>
      <c r="K29" s="990">
        <v>29781</v>
      </c>
      <c r="L29" s="984">
        <v>3.5238095238095237</v>
      </c>
      <c r="M29" s="984">
        <v>3.2320000000000002</v>
      </c>
      <c r="N29" s="984">
        <v>2.5</v>
      </c>
      <c r="O29" s="984">
        <f t="shared" si="19"/>
        <v>1553.8963414634145</v>
      </c>
      <c r="P29" s="990">
        <f t="shared" si="20"/>
        <v>20306.532203250001</v>
      </c>
      <c r="Q29" s="984">
        <f t="shared" si="21"/>
        <v>8.3942024000000011</v>
      </c>
      <c r="R29" s="990">
        <f t="shared" si="8"/>
        <v>27992.47495659384</v>
      </c>
      <c r="S29" s="985">
        <f t="shared" si="9"/>
        <v>1446.1036585365855</v>
      </c>
      <c r="T29" s="986">
        <f t="shared" si="10"/>
        <v>0.48203455284552849</v>
      </c>
      <c r="U29" s="987">
        <f t="shared" si="11"/>
        <v>0.51796544715447146</v>
      </c>
      <c r="V29" s="995">
        <f t="shared" si="12"/>
        <v>24011.42218155443</v>
      </c>
      <c r="W29" s="995">
        <f t="shared" si="3"/>
        <v>31531.404635083334</v>
      </c>
      <c r="X29" s="990">
        <f t="shared" si="13"/>
        <v>20767.688768450629</v>
      </c>
      <c r="Y29" s="990">
        <f t="shared" si="14"/>
        <v>27794.647561999998</v>
      </c>
      <c r="Z29" s="990">
        <f t="shared" si="4"/>
        <v>31424.042869766665</v>
      </c>
    </row>
    <row r="30" spans="1:26">
      <c r="A30">
        <v>1</v>
      </c>
      <c r="B30">
        <v>2017</v>
      </c>
      <c r="C30" t="s">
        <v>632</v>
      </c>
      <c r="D30" s="988">
        <f t="shared" si="17"/>
        <v>42736</v>
      </c>
      <c r="E30" s="984">
        <v>29611</v>
      </c>
      <c r="F30" s="984">
        <v>33307</v>
      </c>
      <c r="G30" s="984">
        <v>33696</v>
      </c>
      <c r="H30" s="984">
        <f>VLOOKUP(D30,'[8]$ to INR'!$R$3:$S$131,2,TRUE)</f>
        <v>67.931799999999996</v>
      </c>
      <c r="I30" s="990">
        <f t="shared" si="18"/>
        <v>30970.144900000003</v>
      </c>
      <c r="J30" s="990">
        <f t="shared" si="6"/>
        <v>33922.317306289995</v>
      </c>
      <c r="K30" s="990">
        <v>35242</v>
      </c>
      <c r="L30" s="984">
        <v>7.4749999999999996</v>
      </c>
      <c r="M30" s="984">
        <v>3.93</v>
      </c>
      <c r="N30" s="984">
        <v>2.5</v>
      </c>
      <c r="O30" s="984">
        <f t="shared" si="19"/>
        <v>1553.8963414634145</v>
      </c>
      <c r="P30" s="990">
        <f t="shared" si="20"/>
        <v>20326.102690200001</v>
      </c>
      <c r="Q30" s="984">
        <f t="shared" si="21"/>
        <v>9.3160509999999999</v>
      </c>
      <c r="R30" s="990">
        <f t="shared" si="8"/>
        <v>31136.52077543256</v>
      </c>
      <c r="S30" s="985">
        <f t="shared" si="9"/>
        <v>1446.1036585365855</v>
      </c>
      <c r="T30" s="986">
        <f t="shared" si="10"/>
        <v>0.48203455284552849</v>
      </c>
      <c r="U30" s="987">
        <f t="shared" si="11"/>
        <v>0.51796544715447146</v>
      </c>
      <c r="V30" s="995">
        <f t="shared" si="12"/>
        <v>25537.09773798829</v>
      </c>
      <c r="W30" s="995">
        <f t="shared" si="3"/>
        <v>33960.714218949994</v>
      </c>
      <c r="X30" s="990">
        <f t="shared" si="13"/>
        <v>20974.727775313953</v>
      </c>
      <c r="Y30" s="990">
        <f t="shared" si="14"/>
        <v>31947.337511000002</v>
      </c>
      <c r="Z30" s="990">
        <f t="shared" si="4"/>
        <v>33916.384669409992</v>
      </c>
    </row>
    <row r="31" spans="1:26">
      <c r="A31">
        <v>2</v>
      </c>
      <c r="B31">
        <v>2017</v>
      </c>
      <c r="C31" t="s">
        <v>633</v>
      </c>
      <c r="D31" s="988">
        <f t="shared" si="17"/>
        <v>42767</v>
      </c>
      <c r="E31" s="984">
        <v>34119</v>
      </c>
      <c r="F31" s="984">
        <v>33134</v>
      </c>
      <c r="G31" s="984">
        <v>40140</v>
      </c>
      <c r="H31" s="984">
        <f>VLOOKUP(D31,'[8]$ to INR'!$R$3:$S$131,2,TRUE)</f>
        <v>66.839750000000009</v>
      </c>
      <c r="I31" s="990">
        <f t="shared" si="18"/>
        <v>35685.062100000003</v>
      </c>
      <c r="J31" s="990">
        <f t="shared" si="6"/>
        <v>33935.620753487499</v>
      </c>
      <c r="K31" s="990">
        <v>41983</v>
      </c>
      <c r="L31" s="984">
        <v>13.925000000000001</v>
      </c>
      <c r="M31" s="984">
        <v>3.391</v>
      </c>
      <c r="N31" s="984">
        <v>2.5</v>
      </c>
      <c r="O31" s="984">
        <f t="shared" si="19"/>
        <v>1553.8963414634145</v>
      </c>
      <c r="P31" s="990">
        <f t="shared" si="20"/>
        <v>20186.004687749999</v>
      </c>
      <c r="Q31" s="984">
        <f t="shared" si="21"/>
        <v>8.6041936999999997</v>
      </c>
      <c r="R31" s="990">
        <f t="shared" si="8"/>
        <v>28295.026068291096</v>
      </c>
      <c r="S31" s="985">
        <f t="shared" si="9"/>
        <v>1446.1036585365855</v>
      </c>
      <c r="T31" s="986">
        <f t="shared" si="10"/>
        <v>0.48203455284552849</v>
      </c>
      <c r="U31" s="987">
        <f t="shared" si="11"/>
        <v>0.51796544715447146</v>
      </c>
      <c r="V31" s="995">
        <f t="shared" si="12"/>
        <v>24094.833182933955</v>
      </c>
      <c r="W31" s="995">
        <f t="shared" si="3"/>
        <v>33879.431891562497</v>
      </c>
      <c r="X31" s="990">
        <f t="shared" si="13"/>
        <v>20672.545970582461</v>
      </c>
      <c r="Y31" s="990">
        <f t="shared" si="14"/>
        <v>36811.023219000002</v>
      </c>
      <c r="Z31" s="990">
        <f t="shared" si="4"/>
        <v>33946.868672887496</v>
      </c>
    </row>
    <row r="32" spans="1:26">
      <c r="A32">
        <v>3</v>
      </c>
      <c r="B32">
        <v>2017</v>
      </c>
      <c r="C32" t="s">
        <v>634</v>
      </c>
      <c r="D32" s="988">
        <f t="shared" si="17"/>
        <v>42795</v>
      </c>
      <c r="E32" s="984">
        <v>31553</v>
      </c>
      <c r="F32" s="984">
        <v>29328</v>
      </c>
      <c r="G32" s="984">
        <v>39441</v>
      </c>
      <c r="H32" s="984">
        <f>VLOOKUP(D32,'[8]$ to INR'!$R$3:$S$131,2,TRUE)</f>
        <v>65.578749999999999</v>
      </c>
      <c r="I32" s="990">
        <f t="shared" si="18"/>
        <v>33001.282700000003</v>
      </c>
      <c r="J32" s="990">
        <f t="shared" si="6"/>
        <v>29937.724957999999</v>
      </c>
      <c r="K32" s="990">
        <v>41252</v>
      </c>
      <c r="L32" s="984">
        <v>8.5869565217391308</v>
      </c>
      <c r="M32" s="984">
        <v>2.6269999999999998</v>
      </c>
      <c r="N32" s="984">
        <v>2.5</v>
      </c>
      <c r="O32" s="984">
        <f t="shared" si="19"/>
        <v>1553.8963414634145</v>
      </c>
      <c r="P32" s="990">
        <f t="shared" si="20"/>
        <v>20024.232258749998</v>
      </c>
      <c r="Q32" s="984">
        <f t="shared" si="21"/>
        <v>7.5951788999999996</v>
      </c>
      <c r="R32" s="990">
        <f t="shared" si="8"/>
        <v>24505.65104378805</v>
      </c>
      <c r="S32" s="985">
        <f t="shared" si="9"/>
        <v>1446.1036585365855</v>
      </c>
      <c r="T32" s="986">
        <f t="shared" si="10"/>
        <v>0.48203455284552849</v>
      </c>
      <c r="U32" s="987">
        <f t="shared" si="11"/>
        <v>0.51796544715447146</v>
      </c>
      <c r="V32" s="995">
        <f t="shared" si="12"/>
        <v>22184.430958909365</v>
      </c>
      <c r="W32" s="995">
        <f t="shared" si="3"/>
        <v>29951.912082499999</v>
      </c>
      <c r="X32" s="990">
        <f t="shared" si="13"/>
        <v>20293.117385852278</v>
      </c>
      <c r="Y32" s="990">
        <f t="shared" si="14"/>
        <v>34042.563253</v>
      </c>
      <c r="Z32" s="990">
        <f t="shared" si="4"/>
        <v>29936.157778249995</v>
      </c>
    </row>
    <row r="33" spans="1:26">
      <c r="A33">
        <v>4</v>
      </c>
      <c r="B33">
        <v>2017</v>
      </c>
      <c r="C33" t="s">
        <v>635</v>
      </c>
      <c r="D33" s="988">
        <f t="shared" si="17"/>
        <v>42826</v>
      </c>
      <c r="E33" s="984">
        <v>27700</v>
      </c>
      <c r="F33" s="984">
        <v>29566</v>
      </c>
      <c r="G33" s="984">
        <v>31566</v>
      </c>
      <c r="H33" s="984">
        <f>VLOOKUP(D33,'[8]$ to INR'!$R$3:$S$131,2,TRUE)</f>
        <v>64.400999999999996</v>
      </c>
      <c r="I33" s="990">
        <f t="shared" si="18"/>
        <v>28971.43</v>
      </c>
      <c r="J33" s="990">
        <f t="shared" si="6"/>
        <v>30259.161026747373</v>
      </c>
      <c r="K33" s="990">
        <v>33014</v>
      </c>
      <c r="L33" s="984">
        <v>11.684210526315789</v>
      </c>
      <c r="M33" s="984">
        <v>3.1749999999999998</v>
      </c>
      <c r="N33" s="984">
        <v>2.48</v>
      </c>
      <c r="O33" s="984">
        <f t="shared" si="19"/>
        <v>1553.8963414634145</v>
      </c>
      <c r="P33" s="990">
        <f t="shared" si="20"/>
        <v>19807.044369888001</v>
      </c>
      <c r="Q33" s="984">
        <f t="shared" si="21"/>
        <v>8.3189224999999993</v>
      </c>
      <c r="R33" s="990">
        <f t="shared" si="8"/>
        <v>26358.748853786998</v>
      </c>
      <c r="S33" s="985">
        <f t="shared" si="9"/>
        <v>1446.1036585365855</v>
      </c>
      <c r="T33" s="986">
        <f t="shared" si="10"/>
        <v>0.48203455284552849</v>
      </c>
      <c r="U33" s="987">
        <f t="shared" si="11"/>
        <v>0.51796544715447146</v>
      </c>
      <c r="V33" s="995">
        <f t="shared" si="12"/>
        <v>22965.192311160296</v>
      </c>
      <c r="W33" s="995">
        <f t="shared" si="3"/>
        <v>30231.061384684213</v>
      </c>
      <c r="X33" s="990">
        <f t="shared" si="13"/>
        <v>20200.146638921942</v>
      </c>
      <c r="Y33" s="990">
        <f t="shared" si="14"/>
        <v>29885.557700000001</v>
      </c>
      <c r="Z33" s="990">
        <f t="shared" si="4"/>
        <v>30265.264169831578</v>
      </c>
    </row>
    <row r="34" spans="1:26">
      <c r="A34">
        <v>5</v>
      </c>
      <c r="B34">
        <v>2017</v>
      </c>
      <c r="C34" t="s">
        <v>636</v>
      </c>
      <c r="D34" s="988">
        <f t="shared" si="17"/>
        <v>42856</v>
      </c>
      <c r="E34" s="984">
        <v>24802</v>
      </c>
      <c r="F34" s="984">
        <v>27516</v>
      </c>
      <c r="G34" s="984">
        <v>25124</v>
      </c>
      <c r="H34" s="984">
        <f>VLOOKUP(D34,'[8]$ to INR'!$R$3:$S$131,2,TRUE)</f>
        <v>64.433250000000001</v>
      </c>
      <c r="I34" s="990">
        <f t="shared" si="18"/>
        <v>25940.411800000002</v>
      </c>
      <c r="J34" s="990">
        <f t="shared" si="6"/>
        <v>28160.608856849998</v>
      </c>
      <c r="K34" s="990">
        <v>26278</v>
      </c>
      <c r="L34" s="984">
        <v>10.428571428571429</v>
      </c>
      <c r="M34" s="984">
        <v>3.1419999999999999</v>
      </c>
      <c r="N34" s="984">
        <v>2.48</v>
      </c>
      <c r="O34" s="984">
        <f t="shared" si="19"/>
        <v>1553.8963414634145</v>
      </c>
      <c r="P34" s="990">
        <f t="shared" si="20"/>
        <v>19811.148591575999</v>
      </c>
      <c r="Q34" s="984">
        <f t="shared" si="21"/>
        <v>8.2753394</v>
      </c>
      <c r="R34" s="990">
        <f t="shared" si="8"/>
        <v>26233.785009836462</v>
      </c>
      <c r="S34" s="985">
        <f t="shared" si="9"/>
        <v>1446.1036585365855</v>
      </c>
      <c r="T34" s="986">
        <f t="shared" si="10"/>
        <v>0.48203455284552849</v>
      </c>
      <c r="U34" s="987">
        <f t="shared" si="11"/>
        <v>0.51796544715447146</v>
      </c>
      <c r="V34" s="995">
        <f t="shared" si="12"/>
        <v>22907.081265541587</v>
      </c>
      <c r="W34" s="995">
        <f t="shared" si="3"/>
        <v>28145.297393249995</v>
      </c>
      <c r="X34" s="990">
        <f t="shared" si="13"/>
        <v>20196.506776671627</v>
      </c>
      <c r="Y34" s="990">
        <f t="shared" si="14"/>
        <v>26758.902602000002</v>
      </c>
      <c r="Z34" s="990">
        <f t="shared" si="4"/>
        <v>28164.387374399994</v>
      </c>
    </row>
    <row r="35" spans="1:26">
      <c r="A35">
        <v>6</v>
      </c>
      <c r="B35">
        <v>2017</v>
      </c>
      <c r="C35" t="s">
        <v>637</v>
      </c>
      <c r="D35" s="988">
        <f t="shared" si="17"/>
        <v>42887</v>
      </c>
      <c r="E35" s="984">
        <v>24812</v>
      </c>
      <c r="F35" s="984">
        <v>25434</v>
      </c>
      <c r="G35" s="984">
        <v>25134</v>
      </c>
      <c r="H35" s="984">
        <f>VLOOKUP(D35,'[8]$ to INR'!$R$3:$S$131,2,TRUE)</f>
        <v>64.458750000000009</v>
      </c>
      <c r="I35" s="990">
        <f t="shared" si="18"/>
        <v>25950.870800000001</v>
      </c>
      <c r="J35" s="990">
        <f t="shared" si="6"/>
        <v>26016.476662178575</v>
      </c>
      <c r="K35" s="990">
        <v>26288</v>
      </c>
      <c r="L35" s="984">
        <v>8.7142857142857135</v>
      </c>
      <c r="M35" s="984">
        <v>3.2360000000000002</v>
      </c>
      <c r="N35" s="984">
        <v>2.48</v>
      </c>
      <c r="O35" s="984">
        <f t="shared" si="19"/>
        <v>1553.8963414634145</v>
      </c>
      <c r="P35" s="990">
        <f t="shared" si="20"/>
        <v>19814.393790120001</v>
      </c>
      <c r="Q35" s="984">
        <f t="shared" si="21"/>
        <v>8.3994852000000009</v>
      </c>
      <c r="R35" s="990">
        <f t="shared" si="8"/>
        <v>26637.879578466607</v>
      </c>
      <c r="S35" s="985">
        <f t="shared" si="9"/>
        <v>1446.1036585365855</v>
      </c>
      <c r="T35" s="986">
        <f t="shared" si="10"/>
        <v>0.48203455284552849</v>
      </c>
      <c r="U35" s="987">
        <f t="shared" si="11"/>
        <v>0.51796544715447146</v>
      </c>
      <c r="V35" s="995">
        <f t="shared" si="12"/>
        <v>23103.549710953474</v>
      </c>
      <c r="W35" s="995">
        <f t="shared" ref="W35:W66" si="22">(1.011*F35+0.02*H35)*0.55+0.22*(1.011*F35+17*H35)+0.23*(F35+L35*H35)</f>
        <v>26020.404503035716</v>
      </c>
      <c r="X35" s="990">
        <f t="shared" si="13"/>
        <v>20223.802937420794</v>
      </c>
      <c r="Y35" s="990">
        <f t="shared" si="14"/>
        <v>26769.691612000002</v>
      </c>
      <c r="Z35" s="990">
        <f t="shared" ref="Z35:Z66" si="23">(1.011*F35+0.02*H35)*0.36+0.15*(1.011*F35+17*H35)+0.49*(F35+L35*H35)</f>
        <v>26016.757517999999</v>
      </c>
    </row>
    <row r="36" spans="1:26">
      <c r="A36">
        <v>7</v>
      </c>
      <c r="B36">
        <v>2017</v>
      </c>
      <c r="C36" t="s">
        <v>638</v>
      </c>
      <c r="D36" s="988">
        <f t="shared" si="17"/>
        <v>42917</v>
      </c>
      <c r="E36" s="984">
        <v>22202</v>
      </c>
      <c r="F36" s="984">
        <v>26114</v>
      </c>
      <c r="G36" s="984">
        <v>23489</v>
      </c>
      <c r="H36" s="984">
        <f>VLOOKUP(D36,'[8]$ to INR'!$R$3:$S$131,2,TRUE)</f>
        <v>64.244800000000012</v>
      </c>
      <c r="I36" s="990">
        <f t="shared" si="18"/>
        <v>23221.071800000002</v>
      </c>
      <c r="J36" s="990">
        <f t="shared" si="6"/>
        <v>26565.630654011431</v>
      </c>
      <c r="K36" s="990">
        <v>24567</v>
      </c>
      <c r="L36" s="984">
        <v>4.0952380952380949</v>
      </c>
      <c r="M36" s="984">
        <v>3.0670000000000002</v>
      </c>
      <c r="N36" s="984">
        <v>2.48</v>
      </c>
      <c r="O36" s="984">
        <f t="shared" si="19"/>
        <v>1553.8963414634145</v>
      </c>
      <c r="P36" s="990">
        <f t="shared" si="20"/>
        <v>19787.165938022405</v>
      </c>
      <c r="Q36" s="984">
        <f t="shared" si="21"/>
        <v>8.1762869000000009</v>
      </c>
      <c r="R36" s="990">
        <f t="shared" si="8"/>
        <v>25843.968698349512</v>
      </c>
      <c r="S36" s="985">
        <f t="shared" si="9"/>
        <v>1446.1036585365855</v>
      </c>
      <c r="T36" s="986">
        <f t="shared" si="10"/>
        <v>0.48203455284552849</v>
      </c>
      <c r="U36" s="987">
        <f t="shared" si="11"/>
        <v>0.51796544715447146</v>
      </c>
      <c r="V36" s="995">
        <f t="shared" si="12"/>
        <v>22706.754148270244</v>
      </c>
      <c r="W36" s="995">
        <f t="shared" si="22"/>
        <v>26636.680307847615</v>
      </c>
      <c r="X36" s="990">
        <f t="shared" si="13"/>
        <v>20150.57410364203</v>
      </c>
      <c r="Y36" s="990">
        <f t="shared" si="14"/>
        <v>23953.760002000003</v>
      </c>
      <c r="Z36" s="990">
        <f t="shared" si="23"/>
        <v>26553.704241226667</v>
      </c>
    </row>
    <row r="37" spans="1:26">
      <c r="A37">
        <v>8</v>
      </c>
      <c r="B37">
        <v>2017</v>
      </c>
      <c r="C37" t="s">
        <v>639</v>
      </c>
      <c r="D37" s="988">
        <f t="shared" si="17"/>
        <v>42948</v>
      </c>
      <c r="E37" s="984">
        <v>26877</v>
      </c>
      <c r="F37" s="984">
        <v>28453</v>
      </c>
      <c r="G37" s="984">
        <v>29437</v>
      </c>
      <c r="H37" s="984">
        <f>VLOOKUP(D37,'[8]$ to INR'!$R$3:$S$131,2,TRUE)</f>
        <v>64.066249999999997</v>
      </c>
      <c r="I37" s="990">
        <f t="shared" si="18"/>
        <v>28110.654300000002</v>
      </c>
      <c r="J37" s="990">
        <f t="shared" si="6"/>
        <v>28987.949571011362</v>
      </c>
      <c r="K37" s="990">
        <v>30788</v>
      </c>
      <c r="L37" s="984">
        <v>6.5227272727272725</v>
      </c>
      <c r="M37" s="984">
        <v>2.9689999999999999</v>
      </c>
      <c r="N37" s="984">
        <v>2.48</v>
      </c>
      <c r="O37" s="984">
        <f t="shared" si="19"/>
        <v>1553.8963414634145</v>
      </c>
      <c r="P37" s="990">
        <f t="shared" si="20"/>
        <v>19764.443185079999</v>
      </c>
      <c r="Q37" s="984">
        <f t="shared" si="21"/>
        <v>8.0468583000000002</v>
      </c>
      <c r="R37" s="990">
        <f t="shared" si="8"/>
        <v>25364.176149668852</v>
      </c>
      <c r="S37" s="985">
        <f t="shared" si="9"/>
        <v>1446.1036585365855</v>
      </c>
      <c r="T37" s="986">
        <f t="shared" si="10"/>
        <v>0.48203455284552849</v>
      </c>
      <c r="U37" s="987">
        <f t="shared" si="11"/>
        <v>0.51796544715447146</v>
      </c>
      <c r="V37" s="995">
        <f t="shared" si="12"/>
        <v>22463.707960719952</v>
      </c>
      <c r="W37" s="995">
        <f t="shared" si="22"/>
        <v>29030.423349261364</v>
      </c>
      <c r="X37" s="990">
        <f t="shared" si="13"/>
        <v>20100.42716295533</v>
      </c>
      <c r="Y37" s="990">
        <f t="shared" si="14"/>
        <v>28997.622177000001</v>
      </c>
      <c r="Z37" s="990">
        <f t="shared" si="23"/>
        <v>28981.216015806815</v>
      </c>
    </row>
    <row r="38" spans="1:26">
      <c r="A38">
        <v>9</v>
      </c>
      <c r="B38">
        <v>2017</v>
      </c>
      <c r="C38" t="s">
        <v>640</v>
      </c>
      <c r="D38" s="988">
        <f t="shared" si="17"/>
        <v>42979</v>
      </c>
      <c r="E38" s="984">
        <v>30960</v>
      </c>
      <c r="F38" s="984">
        <v>31364</v>
      </c>
      <c r="G38" s="984">
        <v>32250</v>
      </c>
      <c r="H38" s="984">
        <f>VLOOKUP(D38,'[8]$ to INR'!$R$3:$S$131,2,TRUE)</f>
        <v>64.5</v>
      </c>
      <c r="I38" s="990">
        <f t="shared" si="18"/>
        <v>32381.064000000002</v>
      </c>
      <c r="J38" s="990">
        <f t="shared" si="6"/>
        <v>32003.98155</v>
      </c>
      <c r="K38" s="990">
        <v>33730</v>
      </c>
      <c r="L38" s="984">
        <v>9.4499999999999993</v>
      </c>
      <c r="M38" s="984">
        <v>2.9609999999999999</v>
      </c>
      <c r="N38" s="984">
        <v>2.48</v>
      </c>
      <c r="O38" s="984">
        <f t="shared" si="19"/>
        <v>1553.8963414634145</v>
      </c>
      <c r="P38" s="990">
        <f t="shared" si="20"/>
        <v>19819.643376</v>
      </c>
      <c r="Q38" s="984">
        <f t="shared" si="21"/>
        <v>8.0362927000000006</v>
      </c>
      <c r="R38" s="990">
        <f t="shared" si="8"/>
        <v>25502.371254180005</v>
      </c>
      <c r="S38" s="985">
        <f t="shared" si="9"/>
        <v>1446.1036585365855</v>
      </c>
      <c r="T38" s="986">
        <f t="shared" si="10"/>
        <v>0.48203455284552849</v>
      </c>
      <c r="U38" s="987">
        <f t="shared" si="11"/>
        <v>0.51796544715447146</v>
      </c>
      <c r="V38" s="995">
        <f t="shared" si="12"/>
        <v>22558.914567701315</v>
      </c>
      <c r="W38" s="995">
        <f t="shared" si="22"/>
        <v>32011.783330000006</v>
      </c>
      <c r="X38" s="990">
        <f t="shared" si="13"/>
        <v>20160.607048690799</v>
      </c>
      <c r="Y38" s="990">
        <f t="shared" si="14"/>
        <v>33402.774960000002</v>
      </c>
      <c r="Z38" s="990">
        <f t="shared" si="23"/>
        <v>32003.558689999998</v>
      </c>
    </row>
    <row r="39" spans="1:26">
      <c r="A39">
        <v>10</v>
      </c>
      <c r="B39">
        <v>2017</v>
      </c>
      <c r="C39" t="s">
        <v>641</v>
      </c>
      <c r="D39" s="988">
        <f t="shared" si="17"/>
        <v>43009</v>
      </c>
      <c r="E39" s="984">
        <v>37374</v>
      </c>
      <c r="F39" s="984">
        <v>32996</v>
      </c>
      <c r="G39" s="984">
        <v>37699</v>
      </c>
      <c r="H39" s="984">
        <f>VLOOKUP(D39,'[8]$ to INR'!$R$3:$S$131,2,TRUE)</f>
        <v>64.948000000000008</v>
      </c>
      <c r="I39" s="990">
        <f t="shared" si="18"/>
        <v>39089.4666</v>
      </c>
      <c r="J39" s="990">
        <f t="shared" si="6"/>
        <v>33713.072082971426</v>
      </c>
      <c r="K39" s="990">
        <v>39430</v>
      </c>
      <c r="L39" s="984">
        <v>11.642857142857142</v>
      </c>
      <c r="M39" s="984">
        <v>2.9740000000000002</v>
      </c>
      <c r="N39" s="984">
        <v>2.89</v>
      </c>
      <c r="O39" s="984">
        <f t="shared" si="19"/>
        <v>1553.8963414634145</v>
      </c>
      <c r="P39" s="990">
        <f t="shared" si="20"/>
        <v>21243.123751632003</v>
      </c>
      <c r="Q39" s="984">
        <f t="shared" si="21"/>
        <v>8.0534618000000009</v>
      </c>
      <c r="R39" s="990">
        <f t="shared" si="8"/>
        <v>25734.366859730886</v>
      </c>
      <c r="S39" s="985">
        <f t="shared" si="9"/>
        <v>1446.1036585365855</v>
      </c>
      <c r="T39" s="986">
        <f t="shared" si="10"/>
        <v>0.48203455284552849</v>
      </c>
      <c r="U39" s="987">
        <f t="shared" si="11"/>
        <v>0.51796544715447146</v>
      </c>
      <c r="V39" s="995">
        <f t="shared" si="12"/>
        <v>23408.05811496501</v>
      </c>
      <c r="W39" s="995">
        <f t="shared" si="22"/>
        <v>33693.017533714286</v>
      </c>
      <c r="X39" s="990">
        <f t="shared" si="13"/>
        <v>21512.598338117936</v>
      </c>
      <c r="Y39" s="990">
        <f t="shared" si="14"/>
        <v>40322.845974000003</v>
      </c>
      <c r="Z39" s="990">
        <f t="shared" si="23"/>
        <v>33717.720925599991</v>
      </c>
    </row>
    <row r="40" spans="1:26">
      <c r="A40">
        <v>11</v>
      </c>
      <c r="B40">
        <v>2017</v>
      </c>
      <c r="C40" t="s">
        <v>642</v>
      </c>
      <c r="D40" s="988">
        <f t="shared" si="17"/>
        <v>43040</v>
      </c>
      <c r="E40" s="984">
        <v>37275</v>
      </c>
      <c r="F40" s="984">
        <v>36663</v>
      </c>
      <c r="G40" s="984">
        <v>37599</v>
      </c>
      <c r="H40" s="984">
        <f>VLOOKUP(D40,'[8]$ to INR'!$R$3:$S$131,2,TRUE)</f>
        <v>64.851249999999993</v>
      </c>
      <c r="I40" s="990">
        <f t="shared" si="18"/>
        <v>38985.922500000001</v>
      </c>
      <c r="J40" s="990">
        <f t="shared" si="6"/>
        <v>37584.354509068187</v>
      </c>
      <c r="K40" s="990">
        <v>39325</v>
      </c>
      <c r="L40" s="984">
        <v>17.90909090909091</v>
      </c>
      <c r="M40" s="984">
        <v>2.7519999999999998</v>
      </c>
      <c r="N40" s="984">
        <v>2.89</v>
      </c>
      <c r="O40" s="984">
        <f t="shared" si="19"/>
        <v>1553.8963414634145</v>
      </c>
      <c r="P40" s="990">
        <f t="shared" si="20"/>
        <v>21228.775525005003</v>
      </c>
      <c r="Q40" s="984">
        <f t="shared" si="21"/>
        <v>7.7602663999999999</v>
      </c>
      <c r="R40" s="990">
        <f t="shared" si="8"/>
        <v>24760.538437551601</v>
      </c>
      <c r="S40" s="985">
        <f t="shared" si="9"/>
        <v>1446.1036585365855</v>
      </c>
      <c r="T40" s="986">
        <f t="shared" si="10"/>
        <v>0.48203455284552849</v>
      </c>
      <c r="U40" s="987">
        <f t="shared" si="11"/>
        <v>0.51796544715447146</v>
      </c>
      <c r="V40" s="995">
        <f t="shared" si="12"/>
        <v>22931.207281310824</v>
      </c>
      <c r="W40" s="995">
        <f t="shared" si="22"/>
        <v>37483.920843068183</v>
      </c>
      <c r="X40" s="990">
        <f t="shared" si="13"/>
        <v>21440.681299757798</v>
      </c>
      <c r="Y40" s="990">
        <f t="shared" si="14"/>
        <v>40216.034775</v>
      </c>
      <c r="Z40" s="990">
        <f t="shared" si="23"/>
        <v>37603.616243090903</v>
      </c>
    </row>
    <row r="41" spans="1:26">
      <c r="A41">
        <v>12</v>
      </c>
      <c r="B41">
        <v>2017</v>
      </c>
      <c r="C41" t="s">
        <v>643</v>
      </c>
      <c r="D41" s="988">
        <f t="shared" si="17"/>
        <v>43070</v>
      </c>
      <c r="E41" s="984">
        <v>37842</v>
      </c>
      <c r="F41" s="984">
        <v>36492</v>
      </c>
      <c r="G41" s="984">
        <v>36559</v>
      </c>
      <c r="H41" s="984">
        <f>VLOOKUP(D41,'[8]$ to INR'!$R$3:$S$131,2,TRUE)</f>
        <v>63.951999999999998</v>
      </c>
      <c r="I41" s="990">
        <f t="shared" si="18"/>
        <v>39578.947800000002</v>
      </c>
      <c r="J41" s="990">
        <f t="shared" si="6"/>
        <v>37395.163625600006</v>
      </c>
      <c r="K41" s="990">
        <v>38237</v>
      </c>
      <c r="L41" s="984">
        <v>17.649999999999999</v>
      </c>
      <c r="M41" s="984">
        <v>3.0739999999999998</v>
      </c>
      <c r="N41" s="984">
        <v>2.89</v>
      </c>
      <c r="O41" s="984">
        <f t="shared" si="19"/>
        <v>1553.8963414634145</v>
      </c>
      <c r="P41" s="990">
        <f t="shared" si="20"/>
        <v>21095.414875967999</v>
      </c>
      <c r="Q41" s="984">
        <f t="shared" si="21"/>
        <v>8.1855317999999997</v>
      </c>
      <c r="R41" s="990">
        <f t="shared" si="8"/>
        <v>25755.27157994112</v>
      </c>
      <c r="S41" s="985">
        <f t="shared" si="9"/>
        <v>1446.1036585365855</v>
      </c>
      <c r="T41" s="986">
        <f t="shared" si="10"/>
        <v>0.48203455284552849</v>
      </c>
      <c r="U41" s="987">
        <f t="shared" si="11"/>
        <v>0.51796544715447146</v>
      </c>
      <c r="V41" s="995">
        <f t="shared" si="12"/>
        <v>23341.626818591918</v>
      </c>
      <c r="W41" s="995">
        <f t="shared" si="22"/>
        <v>37300.584336</v>
      </c>
      <c r="X41" s="990">
        <f t="shared" si="13"/>
        <v>21375.006278206383</v>
      </c>
      <c r="Y41" s="990">
        <f t="shared" si="14"/>
        <v>40827.771642</v>
      </c>
      <c r="Z41" s="990">
        <f t="shared" si="23"/>
        <v>37413.347046399998</v>
      </c>
    </row>
    <row r="42" spans="1:26">
      <c r="A42">
        <v>1</v>
      </c>
      <c r="B42">
        <v>2018</v>
      </c>
      <c r="C42" t="s">
        <v>632</v>
      </c>
      <c r="D42" s="988">
        <f t="shared" si="17"/>
        <v>43101</v>
      </c>
      <c r="E42" s="984">
        <v>37570</v>
      </c>
      <c r="F42" s="984">
        <v>37155</v>
      </c>
      <c r="G42" s="984">
        <v>36296</v>
      </c>
      <c r="H42" s="984">
        <f>VLOOKUP(D42,'[8]$ to INR'!$R$3:$S$131,2,TRUE)</f>
        <v>63.79</v>
      </c>
      <c r="I42" s="990">
        <f t="shared" si="18"/>
        <v>39294.463000000003</v>
      </c>
      <c r="J42" s="990">
        <f t="shared" si="6"/>
        <v>37996.772168818177</v>
      </c>
      <c r="K42" s="990">
        <v>37962</v>
      </c>
      <c r="L42" s="984">
        <v>15.431818181818182</v>
      </c>
      <c r="M42" s="984">
        <v>2.738</v>
      </c>
      <c r="N42" s="984">
        <v>2.89</v>
      </c>
      <c r="O42" s="984">
        <f t="shared" si="19"/>
        <v>1553.8963414634145</v>
      </c>
      <c r="P42" s="990">
        <f t="shared" si="20"/>
        <v>21071.38993836</v>
      </c>
      <c r="Q42" s="984">
        <f t="shared" si="21"/>
        <v>7.7417765999999997</v>
      </c>
      <c r="R42" s="990">
        <f t="shared" si="8"/>
        <v>24297.318122248798</v>
      </c>
      <c r="S42" s="985">
        <f t="shared" si="9"/>
        <v>1446.1036585365855</v>
      </c>
      <c r="T42" s="986">
        <f t="shared" si="10"/>
        <v>0.48203455284552849</v>
      </c>
      <c r="U42" s="987">
        <f t="shared" si="11"/>
        <v>0.51796544715447146</v>
      </c>
      <c r="V42" s="995">
        <f t="shared" si="12"/>
        <v>22626.398787992621</v>
      </c>
      <c r="W42" s="995">
        <f t="shared" si="22"/>
        <v>37935.390146818187</v>
      </c>
      <c r="X42" s="990">
        <f t="shared" si="13"/>
        <v>21264.945629393325</v>
      </c>
      <c r="Y42" s="990">
        <f t="shared" si="14"/>
        <v>40534.310570000001</v>
      </c>
      <c r="Z42" s="990">
        <f t="shared" si="23"/>
        <v>38008.917222090909</v>
      </c>
    </row>
    <row r="43" spans="1:26">
      <c r="A43">
        <v>2</v>
      </c>
      <c r="B43">
        <v>2018</v>
      </c>
      <c r="C43" t="s">
        <v>633</v>
      </c>
      <c r="D43" s="988">
        <f t="shared" si="17"/>
        <v>43132</v>
      </c>
      <c r="E43" s="984">
        <v>33882</v>
      </c>
      <c r="F43" s="984">
        <v>34913</v>
      </c>
      <c r="G43" s="984">
        <v>32591</v>
      </c>
      <c r="H43" s="984">
        <f>VLOOKUP(D43,'[8]$ to INR'!$R$3:$S$131,2,TRUE)</f>
        <v>64.63</v>
      </c>
      <c r="I43" s="990">
        <f t="shared" si="18"/>
        <v>35437.183799999999</v>
      </c>
      <c r="J43" s="990">
        <f t="shared" si="6"/>
        <v>35550.027179789475</v>
      </c>
      <c r="K43" s="990">
        <v>34087</v>
      </c>
      <c r="L43" s="984">
        <v>8.5789473684210531</v>
      </c>
      <c r="M43" s="984">
        <v>3.6309999999999998</v>
      </c>
      <c r="N43" s="984">
        <v>2.89</v>
      </c>
      <c r="O43" s="984">
        <f t="shared" si="19"/>
        <v>1553.8963414634145</v>
      </c>
      <c r="P43" s="990">
        <f t="shared" si="20"/>
        <v>21195.963688920001</v>
      </c>
      <c r="Q43" s="984">
        <f t="shared" si="21"/>
        <v>8.921161699999999</v>
      </c>
      <c r="R43" s="990">
        <f t="shared" si="8"/>
        <v>28367.474289013197</v>
      </c>
      <c r="S43" s="985">
        <f t="shared" si="9"/>
        <v>1446.1036585365855</v>
      </c>
      <c r="T43" s="986">
        <f t="shared" si="10"/>
        <v>0.48203455284552849</v>
      </c>
      <c r="U43" s="987">
        <f t="shared" si="11"/>
        <v>0.51796544715447146</v>
      </c>
      <c r="V43" s="995">
        <f t="shared" si="12"/>
        <v>24652.879594262893</v>
      </c>
      <c r="W43" s="995">
        <f t="shared" si="22"/>
        <v>35578.665434736846</v>
      </c>
      <c r="X43" s="990">
        <f t="shared" si="13"/>
        <v>21626.25432492559</v>
      </c>
      <c r="Y43" s="990">
        <f t="shared" si="14"/>
        <v>36555.323682000002</v>
      </c>
      <c r="Z43" s="990">
        <f t="shared" si="23"/>
        <v>35545.817876526315</v>
      </c>
    </row>
    <row r="44" spans="1:26">
      <c r="A44">
        <v>3</v>
      </c>
      <c r="B44">
        <v>2018</v>
      </c>
      <c r="C44" t="s">
        <v>634</v>
      </c>
      <c r="D44" s="988">
        <f t="shared" si="17"/>
        <v>43160</v>
      </c>
      <c r="E44" s="984">
        <v>31233</v>
      </c>
      <c r="F44" s="984">
        <v>35895</v>
      </c>
      <c r="G44" s="984">
        <v>30257</v>
      </c>
      <c r="H44" s="984">
        <f>VLOOKUP(D44,'[8]$ to INR'!$R$3:$S$131,2,TRUE)</f>
        <v>65.055000000000007</v>
      </c>
      <c r="I44" s="990">
        <f t="shared" si="18"/>
        <v>32666.594700000001</v>
      </c>
      <c r="J44" s="990">
        <f t="shared" si="6"/>
        <v>36691.801082571423</v>
      </c>
      <c r="K44" s="990">
        <v>31645</v>
      </c>
      <c r="L44" s="984">
        <v>13.738095238095237</v>
      </c>
      <c r="M44" s="984">
        <v>2.6389999999999998</v>
      </c>
      <c r="N44" s="984">
        <v>2.89</v>
      </c>
      <c r="O44" s="984">
        <f t="shared" si="19"/>
        <v>1553.8963414634145</v>
      </c>
      <c r="P44" s="990">
        <f t="shared" si="20"/>
        <v>21258.99207462</v>
      </c>
      <c r="Q44" s="984">
        <f t="shared" si="21"/>
        <v>7.6110272999999999</v>
      </c>
      <c r="R44" s="990">
        <f t="shared" si="8"/>
        <v>24360.660745273803</v>
      </c>
      <c r="S44" s="985">
        <f t="shared" si="9"/>
        <v>1446.1036585365855</v>
      </c>
      <c r="T44" s="986">
        <f t="shared" si="10"/>
        <v>0.48203455284552849</v>
      </c>
      <c r="U44" s="987">
        <f t="shared" si="11"/>
        <v>0.51796544715447146</v>
      </c>
      <c r="V44" s="995">
        <f t="shared" si="12"/>
        <v>22754.103545353588</v>
      </c>
      <c r="W44" s="995">
        <f t="shared" si="22"/>
        <v>36648.610265714284</v>
      </c>
      <c r="X44" s="990">
        <f t="shared" si="13"/>
        <v>21445.092194859229</v>
      </c>
      <c r="Y44" s="990">
        <f t="shared" si="14"/>
        <v>33697.314933000001</v>
      </c>
      <c r="Z44" s="990">
        <f t="shared" si="23"/>
        <v>36700.658170999988</v>
      </c>
    </row>
    <row r="45" spans="1:26">
      <c r="A45">
        <v>4</v>
      </c>
      <c r="B45">
        <v>2018</v>
      </c>
      <c r="C45" t="s">
        <v>635</v>
      </c>
      <c r="D45" s="988">
        <f t="shared" si="17"/>
        <v>43191</v>
      </c>
      <c r="E45" s="984">
        <v>31257</v>
      </c>
      <c r="F45" s="984">
        <v>38393</v>
      </c>
      <c r="G45" s="984">
        <v>30928</v>
      </c>
      <c r="H45" s="984">
        <f>VLOOKUP(D45,'[8]$ to INR'!$R$3:$S$131,2,TRUE)</f>
        <v>65.966999999999999</v>
      </c>
      <c r="I45" s="990">
        <f t="shared" si="18"/>
        <v>32691.696300000003</v>
      </c>
      <c r="J45" s="990">
        <f t="shared" si="6"/>
        <v>39368.533493314288</v>
      </c>
      <c r="K45" s="990">
        <v>32348</v>
      </c>
      <c r="L45" s="984">
        <v>18.976190476190474</v>
      </c>
      <c r="M45" s="984">
        <v>2.6909999999999998</v>
      </c>
      <c r="N45" s="984">
        <v>3.06</v>
      </c>
      <c r="O45" s="984">
        <f t="shared" si="19"/>
        <v>1553.8963414634145</v>
      </c>
      <c r="P45" s="990">
        <f t="shared" si="20"/>
        <v>21969.716726712002</v>
      </c>
      <c r="Q45" s="984">
        <f t="shared" si="21"/>
        <v>7.6797036999999992</v>
      </c>
      <c r="R45" s="990">
        <f t="shared" si="8"/>
        <v>24925.065087712679</v>
      </c>
      <c r="S45" s="985">
        <f t="shared" si="9"/>
        <v>1446.1036585365855</v>
      </c>
      <c r="T45" s="986">
        <f t="shared" si="10"/>
        <v>0.48203455284552849</v>
      </c>
      <c r="U45" s="987">
        <f t="shared" si="11"/>
        <v>0.51796544715447146</v>
      </c>
      <c r="V45" s="995">
        <f t="shared" si="12"/>
        <v>23394.296752409726</v>
      </c>
      <c r="W45" s="995">
        <f t="shared" si="22"/>
        <v>39253.54546914286</v>
      </c>
      <c r="X45" s="990">
        <f t="shared" si="13"/>
        <v>22147.037628372043</v>
      </c>
      <c r="Y45" s="990">
        <f t="shared" si="14"/>
        <v>33723.208557000005</v>
      </c>
      <c r="Z45" s="990">
        <f t="shared" si="23"/>
        <v>39390.458697399998</v>
      </c>
    </row>
    <row r="46" spans="1:26">
      <c r="A46">
        <v>5</v>
      </c>
      <c r="B46">
        <v>2018</v>
      </c>
      <c r="C46" t="s">
        <v>636</v>
      </c>
      <c r="D46" s="988">
        <f t="shared" si="17"/>
        <v>43221</v>
      </c>
      <c r="E46" s="984">
        <v>33734</v>
      </c>
      <c r="F46" s="984">
        <v>43778</v>
      </c>
      <c r="G46" s="984">
        <v>34072</v>
      </c>
      <c r="H46" s="984">
        <f>VLOOKUP(D46,'[8]$ to INR'!$R$3:$S$131,2,TRUE)</f>
        <v>67.518749999999997</v>
      </c>
      <c r="I46" s="990">
        <f t="shared" si="18"/>
        <v>35282.390599999999</v>
      </c>
      <c r="J46" s="990">
        <f t="shared" si="6"/>
        <v>44985.173653392863</v>
      </c>
      <c r="K46" s="990">
        <v>35636</v>
      </c>
      <c r="L46" s="984">
        <v>24.952380952380953</v>
      </c>
      <c r="M46" s="984">
        <v>2.8210000000000002</v>
      </c>
      <c r="N46" s="984">
        <v>3.06</v>
      </c>
      <c r="O46" s="984">
        <f t="shared" si="19"/>
        <v>1553.8963414634145</v>
      </c>
      <c r="P46" s="990">
        <f t="shared" si="20"/>
        <v>22213.381412549999</v>
      </c>
      <c r="Q46" s="984">
        <f t="shared" si="21"/>
        <v>7.8513947000000002</v>
      </c>
      <c r="R46" s="990">
        <f t="shared" si="8"/>
        <v>26081.724710310747</v>
      </c>
      <c r="S46" s="985">
        <f t="shared" si="9"/>
        <v>1446.1036585365855</v>
      </c>
      <c r="T46" s="986">
        <f t="shared" si="10"/>
        <v>0.48203455284552849</v>
      </c>
      <c r="U46" s="987">
        <f t="shared" si="11"/>
        <v>0.51796544715447146</v>
      </c>
      <c r="V46" s="995">
        <f t="shared" si="12"/>
        <v>24078.056544339099</v>
      </c>
      <c r="W46" s="995">
        <f t="shared" si="22"/>
        <v>44789.555812678576</v>
      </c>
      <c r="X46" s="990">
        <f t="shared" si="13"/>
        <v>22445.482010415642</v>
      </c>
      <c r="Y46" s="990">
        <f t="shared" si="14"/>
        <v>36395.646334000005</v>
      </c>
      <c r="Z46" s="990">
        <f t="shared" si="23"/>
        <v>45021.782777499997</v>
      </c>
    </row>
    <row r="47" spans="1:26">
      <c r="A47">
        <v>6</v>
      </c>
      <c r="B47">
        <v>2018</v>
      </c>
      <c r="C47" t="s">
        <v>637</v>
      </c>
      <c r="D47" s="988">
        <f t="shared" si="17"/>
        <v>43252</v>
      </c>
      <c r="E47" s="984">
        <v>38039</v>
      </c>
      <c r="F47" s="984">
        <v>41961</v>
      </c>
      <c r="G47" s="984">
        <v>38039</v>
      </c>
      <c r="H47" s="984">
        <f>VLOOKUP(D47,'[8]$ to INR'!$R$3:$S$131,2,TRUE)</f>
        <v>67.98</v>
      </c>
      <c r="I47" s="990">
        <f t="shared" si="18"/>
        <v>39784.990100000003</v>
      </c>
      <c r="J47" s="990">
        <f t="shared" si="6"/>
        <v>43007.531243999998</v>
      </c>
      <c r="K47" s="990">
        <v>39785</v>
      </c>
      <c r="L47" s="984">
        <v>19.850000000000001</v>
      </c>
      <c r="M47" s="984">
        <v>2.875</v>
      </c>
      <c r="N47" s="984">
        <v>3.06</v>
      </c>
      <c r="O47" s="984">
        <f t="shared" si="19"/>
        <v>1553.8963414634145</v>
      </c>
      <c r="P47" s="990">
        <f t="shared" si="20"/>
        <v>22285.80953328</v>
      </c>
      <c r="Q47" s="984">
        <f t="shared" si="21"/>
        <v>7.9227125000000003</v>
      </c>
      <c r="R47" s="990">
        <f t="shared" si="8"/>
        <v>26498.430990900004</v>
      </c>
      <c r="S47" s="985">
        <f t="shared" si="9"/>
        <v>1446.1036585365855</v>
      </c>
      <c r="T47" s="986">
        <f t="shared" si="10"/>
        <v>0.48203455284552849</v>
      </c>
      <c r="U47" s="987">
        <f t="shared" si="11"/>
        <v>0.51796544715447146</v>
      </c>
      <c r="V47" s="995">
        <f t="shared" si="12"/>
        <v>24316.438633911333</v>
      </c>
      <c r="W47" s="995">
        <f t="shared" si="22"/>
        <v>42881.765340000005</v>
      </c>
      <c r="X47" s="990">
        <f t="shared" si="13"/>
        <v>22538.5668207372</v>
      </c>
      <c r="Y47" s="990">
        <f t="shared" si="14"/>
        <v>41040.315139000006</v>
      </c>
      <c r="Z47" s="990">
        <f t="shared" si="23"/>
        <v>43031.447136000003</v>
      </c>
    </row>
    <row r="48" spans="1:26">
      <c r="A48">
        <v>7</v>
      </c>
      <c r="B48">
        <v>2018</v>
      </c>
      <c r="C48" t="s">
        <v>638</v>
      </c>
      <c r="D48" s="988">
        <f t="shared" si="17"/>
        <v>43282</v>
      </c>
      <c r="E48" s="984">
        <v>38102</v>
      </c>
      <c r="F48" s="984">
        <v>43382</v>
      </c>
      <c r="G48" s="984">
        <v>39132</v>
      </c>
      <c r="H48" s="984">
        <f>VLOOKUP(D48,'[8]$ to INR'!$R$3:$S$131,2,TRUE)</f>
        <v>68.63900000000001</v>
      </c>
      <c r="I48" s="990">
        <f t="shared" si="18"/>
        <v>39850.881800000003</v>
      </c>
      <c r="J48" s="990">
        <f t="shared" si="6"/>
        <v>44448.743574427266</v>
      </c>
      <c r="K48" s="990">
        <v>40928</v>
      </c>
      <c r="L48" s="984">
        <v>19.977272727272727</v>
      </c>
      <c r="M48" s="984">
        <v>2.996</v>
      </c>
      <c r="N48" s="984">
        <v>3.06</v>
      </c>
      <c r="O48" s="984">
        <f t="shared" si="19"/>
        <v>1553.8963414634145</v>
      </c>
      <c r="P48" s="990">
        <f t="shared" si="20"/>
        <v>22389.289493304001</v>
      </c>
      <c r="Q48" s="984">
        <f t="shared" si="21"/>
        <v>8.0825171999999998</v>
      </c>
      <c r="R48" s="990">
        <f t="shared" si="8"/>
        <v>27294.974186067368</v>
      </c>
      <c r="S48" s="985">
        <f t="shared" si="9"/>
        <v>1446.1036585365855</v>
      </c>
      <c r="T48" s="986">
        <f t="shared" si="10"/>
        <v>0.48203455284552849</v>
      </c>
      <c r="U48" s="987">
        <f t="shared" si="11"/>
        <v>0.51796544715447146</v>
      </c>
      <c r="V48" s="995">
        <f t="shared" si="12"/>
        <v>24753.999020581345</v>
      </c>
      <c r="W48" s="995">
        <f t="shared" si="22"/>
        <v>44322.291034227266</v>
      </c>
      <c r="X48" s="990">
        <f t="shared" si="13"/>
        <v>22683.6305748698</v>
      </c>
      <c r="Y48" s="990">
        <f t="shared" si="14"/>
        <v>41108.285902000003</v>
      </c>
      <c r="Z48" s="990">
        <f t="shared" si="23"/>
        <v>44472.794481936362</v>
      </c>
    </row>
    <row r="49" spans="1:26">
      <c r="A49">
        <v>8</v>
      </c>
      <c r="B49">
        <v>2018</v>
      </c>
      <c r="C49" t="s">
        <v>639</v>
      </c>
      <c r="D49" s="988">
        <f t="shared" si="17"/>
        <v>43313</v>
      </c>
      <c r="E49" s="984">
        <v>40506</v>
      </c>
      <c r="F49" s="984">
        <v>44221</v>
      </c>
      <c r="G49" s="984">
        <v>41554</v>
      </c>
      <c r="H49" s="984">
        <f>VLOOKUP(D49,'[8]$ to INR'!$R$3:$S$131,2,TRUE)</f>
        <v>69.991250000000008</v>
      </c>
      <c r="I49" s="990">
        <f t="shared" si="18"/>
        <v>42365.225400000003</v>
      </c>
      <c r="J49" s="990">
        <f t="shared" si="6"/>
        <v>45196.894494249995</v>
      </c>
      <c r="K49" s="990">
        <v>43461</v>
      </c>
      <c r="L49" s="984">
        <v>16.428571428571427</v>
      </c>
      <c r="M49" s="984">
        <v>2.8220000000000001</v>
      </c>
      <c r="N49" s="984">
        <v>3.06</v>
      </c>
      <c r="O49" s="984">
        <f t="shared" si="19"/>
        <v>1553.8963414634145</v>
      </c>
      <c r="P49" s="990">
        <f t="shared" si="20"/>
        <v>22601.627544809999</v>
      </c>
      <c r="Q49" s="984">
        <f t="shared" si="21"/>
        <v>7.8527154000000001</v>
      </c>
      <c r="R49" s="990">
        <f t="shared" si="8"/>
        <v>27041.371243620302</v>
      </c>
      <c r="S49" s="985">
        <f t="shared" si="9"/>
        <v>1446.1036585365855</v>
      </c>
      <c r="T49" s="986">
        <f t="shared" si="10"/>
        <v>0.48203455284552849</v>
      </c>
      <c r="U49" s="987">
        <f t="shared" si="11"/>
        <v>0.51796544715447146</v>
      </c>
      <c r="V49" s="995">
        <f t="shared" si="12"/>
        <v>24741.737413414776</v>
      </c>
      <c r="W49" s="995">
        <f t="shared" si="22"/>
        <v>45122.555986249994</v>
      </c>
      <c r="X49" s="990">
        <f t="shared" si="13"/>
        <v>22868.012166738616</v>
      </c>
      <c r="Y49" s="990">
        <f t="shared" si="14"/>
        <v>43701.963906000004</v>
      </c>
      <c r="Z49" s="990">
        <f t="shared" si="23"/>
        <v>45211.490997000001</v>
      </c>
    </row>
    <row r="50" spans="1:26">
      <c r="A50">
        <v>9</v>
      </c>
      <c r="B50">
        <v>2018</v>
      </c>
      <c r="C50" t="s">
        <v>640</v>
      </c>
      <c r="D50" s="988">
        <f t="shared" si="17"/>
        <v>43344</v>
      </c>
      <c r="E50" s="984">
        <v>43263</v>
      </c>
      <c r="F50" s="984">
        <v>48067</v>
      </c>
      <c r="G50" s="984">
        <v>45787</v>
      </c>
      <c r="H50" s="984">
        <f>VLOOKUP(D50,'[8]$ to INR'!$R$3:$S$131,2,TRUE)</f>
        <v>72.438000000000002</v>
      </c>
      <c r="I50" s="990">
        <f t="shared" si="18"/>
        <v>45248.771700000005</v>
      </c>
      <c r="J50" s="990">
        <f t="shared" si="6"/>
        <v>48905.005623899997</v>
      </c>
      <c r="K50" s="990">
        <v>47888</v>
      </c>
      <c r="L50" s="984">
        <v>10.725</v>
      </c>
      <c r="M50" s="984">
        <v>2.895</v>
      </c>
      <c r="N50" s="984">
        <v>3.06</v>
      </c>
      <c r="O50" s="984">
        <f t="shared" si="19"/>
        <v>1553.8963414634145</v>
      </c>
      <c r="P50" s="990">
        <f t="shared" si="20"/>
        <v>22985.830264368</v>
      </c>
      <c r="Q50" s="984">
        <f t="shared" si="21"/>
        <v>7.9491265000000002</v>
      </c>
      <c r="R50" s="990">
        <f t="shared" si="8"/>
        <v>28330.286210024406</v>
      </c>
      <c r="S50" s="985">
        <f t="shared" si="9"/>
        <v>1446.1036585365855</v>
      </c>
      <c r="T50" s="986">
        <f t="shared" si="10"/>
        <v>0.48203455284552849</v>
      </c>
      <c r="U50" s="987">
        <f t="shared" si="11"/>
        <v>0.51796544715447146</v>
      </c>
      <c r="V50" s="995">
        <f t="shared" si="12"/>
        <v>25562.042696335113</v>
      </c>
      <c r="W50" s="995">
        <f t="shared" si="22"/>
        <v>48924.528864499996</v>
      </c>
      <c r="X50" s="990">
        <f t="shared" si="13"/>
        <v>23306.497621107381</v>
      </c>
      <c r="Y50" s="990">
        <f t="shared" si="14"/>
        <v>46676.493963000001</v>
      </c>
      <c r="Z50" s="990">
        <f t="shared" si="23"/>
        <v>48902.574123099999</v>
      </c>
    </row>
    <row r="51" spans="1:26">
      <c r="A51">
        <v>10</v>
      </c>
      <c r="B51">
        <v>2018</v>
      </c>
      <c r="C51" t="s">
        <v>641</v>
      </c>
      <c r="D51" s="988">
        <f t="shared" si="17"/>
        <v>43374</v>
      </c>
      <c r="E51" s="984">
        <v>48083</v>
      </c>
      <c r="F51" s="984">
        <v>48491</v>
      </c>
      <c r="G51" s="984">
        <v>48083</v>
      </c>
      <c r="H51" s="984">
        <f>VLOOKUP(D51,'[8]$ to INR'!$R$3:$S$131,2,TRUE)</f>
        <v>73.221249999999998</v>
      </c>
      <c r="I51" s="990">
        <f t="shared" si="18"/>
        <v>50290.009700000002</v>
      </c>
      <c r="J51" s="990">
        <f t="shared" si="6"/>
        <v>49259.160693141297</v>
      </c>
      <c r="K51" s="990">
        <v>50290</v>
      </c>
      <c r="L51" s="984">
        <v>8.3478260869565215</v>
      </c>
      <c r="M51" s="984">
        <v>3.0209999999999999</v>
      </c>
      <c r="N51" s="984">
        <v>3.36</v>
      </c>
      <c r="O51" s="984">
        <f t="shared" si="19"/>
        <v>1553.8963414634145</v>
      </c>
      <c r="P51" s="990">
        <f t="shared" si="20"/>
        <v>24236.038385039999</v>
      </c>
      <c r="Q51" s="984">
        <f t="shared" si="21"/>
        <v>8.1155346999999995</v>
      </c>
      <c r="R51" s="990">
        <f t="shared" si="8"/>
        <v>29236.096081496846</v>
      </c>
      <c r="S51" s="985">
        <f t="shared" si="9"/>
        <v>1446.1036585365855</v>
      </c>
      <c r="T51" s="986">
        <f t="shared" si="10"/>
        <v>0.48203455284552849</v>
      </c>
      <c r="U51" s="987">
        <f t="shared" si="11"/>
        <v>0.51796544715447146</v>
      </c>
      <c r="V51" s="995">
        <f t="shared" si="12"/>
        <v>26646.238960953415</v>
      </c>
      <c r="W51" s="995">
        <f t="shared" si="22"/>
        <v>49316.956478749998</v>
      </c>
      <c r="X51" s="990">
        <f t="shared" si="13"/>
        <v>24536.041846827407</v>
      </c>
      <c r="Y51" s="990">
        <f t="shared" si="14"/>
        <v>51876.796783000005</v>
      </c>
      <c r="Z51" s="990">
        <f t="shared" si="23"/>
        <v>49249.782638326084</v>
      </c>
    </row>
    <row r="52" spans="1:26">
      <c r="A52">
        <v>11</v>
      </c>
      <c r="B52">
        <v>2018</v>
      </c>
      <c r="C52" t="s">
        <v>642</v>
      </c>
      <c r="D52" s="988">
        <f t="shared" si="17"/>
        <v>43405</v>
      </c>
      <c r="E52" s="984">
        <v>38474</v>
      </c>
      <c r="F52" s="984">
        <v>35773</v>
      </c>
      <c r="G52" s="984">
        <v>37406</v>
      </c>
      <c r="H52" s="984">
        <f>VLOOKUP(D52,'[8]$ to INR'!$R$3:$S$131,2,TRUE)</f>
        <v>71.191249999999997</v>
      </c>
      <c r="I52" s="990">
        <f t="shared" si="18"/>
        <v>40239.956600000005</v>
      </c>
      <c r="J52" s="990">
        <f t="shared" si="6"/>
        <v>36400.628327017854</v>
      </c>
      <c r="K52" s="990">
        <v>39123</v>
      </c>
      <c r="L52" s="984">
        <v>6.7738095238095237</v>
      </c>
      <c r="M52" s="984">
        <v>3.1850000000000001</v>
      </c>
      <c r="N52" s="984">
        <v>3.36</v>
      </c>
      <c r="O52" s="984">
        <f t="shared" si="19"/>
        <v>1553.8963414634145</v>
      </c>
      <c r="P52" s="990">
        <f t="shared" si="20"/>
        <v>23886.024940560001</v>
      </c>
      <c r="Q52" s="984">
        <f t="shared" si="21"/>
        <v>8.3321295000000006</v>
      </c>
      <c r="R52" s="990">
        <f t="shared" si="8"/>
        <v>29184.195941930255</v>
      </c>
      <c r="S52" s="985">
        <f t="shared" si="9"/>
        <v>1446.1036585365855</v>
      </c>
      <c r="T52" s="986">
        <f t="shared" si="10"/>
        <v>0.48203455284552849</v>
      </c>
      <c r="U52" s="987">
        <f t="shared" si="11"/>
        <v>0.51796544715447146</v>
      </c>
      <c r="V52" s="995">
        <f t="shared" si="12"/>
        <v>26439.926430104657</v>
      </c>
      <c r="W52" s="995">
        <f t="shared" si="22"/>
        <v>36453.949961220242</v>
      </c>
      <c r="X52" s="990">
        <f t="shared" si="13"/>
        <v>24203.915200642215</v>
      </c>
      <c r="Y52" s="990">
        <f t="shared" si="14"/>
        <v>41509.637073999998</v>
      </c>
      <c r="Z52" s="990">
        <f t="shared" si="23"/>
        <v>36392.03241845833</v>
      </c>
    </row>
    <row r="53" spans="1:26">
      <c r="A53">
        <v>12</v>
      </c>
      <c r="B53">
        <v>2018</v>
      </c>
      <c r="C53" t="s">
        <v>643</v>
      </c>
      <c r="D53" s="988">
        <f t="shared" si="17"/>
        <v>43435</v>
      </c>
      <c r="E53" s="984">
        <v>31506</v>
      </c>
      <c r="F53" s="984">
        <v>31642</v>
      </c>
      <c r="G53" s="984">
        <v>29382</v>
      </c>
      <c r="H53" s="984">
        <f>VLOOKUP(D53,'[8]$ to INR'!$R$3:$S$131,2,TRUE)</f>
        <v>70.48060000000001</v>
      </c>
      <c r="I53" s="990">
        <f t="shared" si="18"/>
        <v>32952.125400000004</v>
      </c>
      <c r="J53" s="990">
        <f t="shared" si="6"/>
        <v>32301.446428179999</v>
      </c>
      <c r="K53" s="990">
        <v>30731</v>
      </c>
      <c r="L53" s="984">
        <v>8.6944444444444446</v>
      </c>
      <c r="M53" s="984">
        <v>4.7149999999999999</v>
      </c>
      <c r="N53" s="984">
        <v>3.36</v>
      </c>
      <c r="O53" s="984">
        <f t="shared" si="19"/>
        <v>1553.8963414634145</v>
      </c>
      <c r="P53" s="990">
        <f t="shared" si="20"/>
        <v>23763.494371929602</v>
      </c>
      <c r="Q53" s="984">
        <f t="shared" si="21"/>
        <v>10.352800500000001</v>
      </c>
      <c r="R53" s="990">
        <f t="shared" si="8"/>
        <v>35899.842273278766</v>
      </c>
      <c r="S53" s="985">
        <f t="shared" si="9"/>
        <v>1446.1036585365855</v>
      </c>
      <c r="T53" s="986">
        <f t="shared" si="10"/>
        <v>0.48203455284552849</v>
      </c>
      <c r="U53" s="987">
        <f t="shared" si="11"/>
        <v>0.51796544715447146</v>
      </c>
      <c r="V53" s="995">
        <f t="shared" si="12"/>
        <v>29613.63340573421</v>
      </c>
      <c r="W53" s="995">
        <f t="shared" si="22"/>
        <v>32315.322092655559</v>
      </c>
      <c r="X53" s="990">
        <f t="shared" si="13"/>
        <v>24491.675246010553</v>
      </c>
      <c r="Y53" s="990">
        <f t="shared" si="14"/>
        <v>33991.854906000008</v>
      </c>
      <c r="Z53" s="990">
        <f t="shared" si="23"/>
        <v>32300.011544264438</v>
      </c>
    </row>
    <row r="54" spans="1:26">
      <c r="A54">
        <v>1</v>
      </c>
      <c r="B54">
        <v>2019</v>
      </c>
      <c r="C54" t="s">
        <v>632</v>
      </c>
      <c r="D54" s="988">
        <f t="shared" si="17"/>
        <v>43466</v>
      </c>
      <c r="E54" s="984">
        <v>30431</v>
      </c>
      <c r="F54" s="984">
        <v>31714</v>
      </c>
      <c r="G54" s="984">
        <v>29723</v>
      </c>
      <c r="H54" s="984">
        <f>VLOOKUP(D54,'[8]$ to INR'!$R$3:$S$131,2,TRUE)</f>
        <v>70.98599999999999</v>
      </c>
      <c r="I54" s="990">
        <f t="shared" si="18"/>
        <v>31827.782900000002</v>
      </c>
      <c r="J54" s="990">
        <f t="shared" si="6"/>
        <v>32473.028802845452</v>
      </c>
      <c r="K54" s="990">
        <v>31088</v>
      </c>
      <c r="L54" s="984">
        <v>11.693181818181818</v>
      </c>
      <c r="M54" s="984">
        <v>3.6419999999999999</v>
      </c>
      <c r="N54" s="984">
        <v>3.36</v>
      </c>
      <c r="O54" s="984">
        <f t="shared" si="19"/>
        <v>1553.8963414634145</v>
      </c>
      <c r="P54" s="990">
        <f t="shared" si="20"/>
        <v>23850.635650175998</v>
      </c>
      <c r="Q54" s="984">
        <f t="shared" si="21"/>
        <v>8.9356894000000011</v>
      </c>
      <c r="R54" s="990">
        <f t="shared" si="8"/>
        <v>31207.995309221282</v>
      </c>
      <c r="S54" s="985">
        <f t="shared" si="9"/>
        <v>1446.1036585365855</v>
      </c>
      <c r="T54" s="986">
        <f t="shared" si="10"/>
        <v>0.48203455284552849</v>
      </c>
      <c r="U54" s="987">
        <f t="shared" si="11"/>
        <v>0.51796544715447146</v>
      </c>
      <c r="V54" s="995">
        <f t="shared" si="12"/>
        <v>27397.137223547619</v>
      </c>
      <c r="W54" s="995">
        <f t="shared" si="22"/>
        <v>32439.798073045458</v>
      </c>
      <c r="X54" s="990">
        <f t="shared" si="13"/>
        <v>24292.077229718714</v>
      </c>
      <c r="Y54" s="990">
        <f t="shared" si="14"/>
        <v>32832.036331000003</v>
      </c>
      <c r="Z54" s="990">
        <f t="shared" si="23"/>
        <v>32480.166519427268</v>
      </c>
    </row>
    <row r="55" spans="1:26">
      <c r="A55">
        <v>2</v>
      </c>
      <c r="B55">
        <v>2019</v>
      </c>
      <c r="C55" t="s">
        <v>633</v>
      </c>
      <c r="D55" s="988">
        <f t="shared" si="17"/>
        <v>43497</v>
      </c>
      <c r="E55" s="984">
        <v>31308</v>
      </c>
      <c r="F55" s="984">
        <v>35043</v>
      </c>
      <c r="G55" s="984">
        <v>33443</v>
      </c>
      <c r="H55" s="984">
        <f>VLOOKUP(D55,'[8]$ to INR'!$R$3:$S$131,2,TRUE)</f>
        <v>71.134999999999991</v>
      </c>
      <c r="I55" s="990">
        <f t="shared" si="18"/>
        <v>32745.037200000002</v>
      </c>
      <c r="J55" s="990">
        <f t="shared" si="6"/>
        <v>35954.110702999998</v>
      </c>
      <c r="K55" s="990">
        <v>34978</v>
      </c>
      <c r="L55" s="984">
        <v>15.777777777777779</v>
      </c>
      <c r="M55" s="984">
        <v>2.95</v>
      </c>
      <c r="N55" s="984">
        <v>3.36</v>
      </c>
      <c r="O55" s="984">
        <f t="shared" si="19"/>
        <v>1553.8963414634145</v>
      </c>
      <c r="P55" s="990">
        <f t="shared" si="20"/>
        <v>23876.32629216</v>
      </c>
      <c r="Q55" s="984">
        <f t="shared" si="21"/>
        <v>8.0217650000000003</v>
      </c>
      <c r="R55" s="990">
        <f t="shared" si="8"/>
        <v>28074.910061130002</v>
      </c>
      <c r="S55" s="985">
        <f t="shared" si="9"/>
        <v>1446.1036585365855</v>
      </c>
      <c r="T55" s="986">
        <f t="shared" si="10"/>
        <v>0.48203455284552849</v>
      </c>
      <c r="U55" s="987">
        <f t="shared" si="11"/>
        <v>0.51796544715447146</v>
      </c>
      <c r="V55" s="995">
        <f t="shared" si="12"/>
        <v>25900.188741819948</v>
      </c>
      <c r="W55" s="995">
        <f t="shared" si="22"/>
        <v>35864.782606111112</v>
      </c>
      <c r="X55" s="990">
        <f t="shared" si="13"/>
        <v>24128.241318298198</v>
      </c>
      <c r="Y55" s="990">
        <f t="shared" si="14"/>
        <v>33778.232508000001</v>
      </c>
      <c r="Z55" s="990">
        <f t="shared" si="23"/>
        <v>35971.450240888887</v>
      </c>
    </row>
    <row r="56" spans="1:26">
      <c r="A56">
        <v>3</v>
      </c>
      <c r="B56">
        <v>2019</v>
      </c>
      <c r="C56" t="s">
        <v>634</v>
      </c>
      <c r="D56" s="988">
        <f t="shared" si="17"/>
        <v>43525</v>
      </c>
      <c r="E56" s="984">
        <v>34012</v>
      </c>
      <c r="F56" s="984">
        <v>36487</v>
      </c>
      <c r="G56" s="984">
        <v>36094</v>
      </c>
      <c r="H56" s="984">
        <f>VLOOKUP(D56,'[8]$ to INR'!$R$3:$S$131,2,TRUE)</f>
        <v>69.3</v>
      </c>
      <c r="I56" s="990">
        <f t="shared" si="18"/>
        <v>35573.150800000003</v>
      </c>
      <c r="J56" s="990">
        <f t="shared" si="6"/>
        <v>37405.766640000002</v>
      </c>
      <c r="K56" s="990">
        <v>37751</v>
      </c>
      <c r="L56" s="984">
        <v>16.321428571428573</v>
      </c>
      <c r="M56" s="984">
        <v>2.855</v>
      </c>
      <c r="N56" s="984">
        <v>3.36</v>
      </c>
      <c r="O56" s="984">
        <f t="shared" si="19"/>
        <v>1553.8963414634145</v>
      </c>
      <c r="P56" s="990">
        <f t="shared" si="20"/>
        <v>23559.9348288</v>
      </c>
      <c r="Q56" s="984">
        <f t="shared" si="21"/>
        <v>7.8962985000000003</v>
      </c>
      <c r="R56" s="990">
        <f t="shared" si="8"/>
        <v>26922.903513660003</v>
      </c>
      <c r="S56" s="985">
        <f t="shared" si="9"/>
        <v>1446.1036585365855</v>
      </c>
      <c r="T56" s="986">
        <f t="shared" si="10"/>
        <v>0.48203455284552849</v>
      </c>
      <c r="U56" s="987">
        <f t="shared" si="11"/>
        <v>0.51796544715447146</v>
      </c>
      <c r="V56" s="995">
        <f t="shared" si="12"/>
        <v>25181.001935040003</v>
      </c>
      <c r="W56" s="995">
        <f t="shared" si="22"/>
        <v>37316.136440000002</v>
      </c>
      <c r="X56" s="990">
        <f t="shared" si="13"/>
        <v>23761.712949891597</v>
      </c>
      <c r="Y56" s="990">
        <f t="shared" si="14"/>
        <v>36695.580812</v>
      </c>
      <c r="Z56" s="990">
        <f t="shared" si="23"/>
        <v>37423.13278</v>
      </c>
    </row>
    <row r="57" spans="1:26">
      <c r="A57">
        <v>4</v>
      </c>
      <c r="B57">
        <v>2019</v>
      </c>
      <c r="C57" t="s">
        <v>635</v>
      </c>
      <c r="D57" s="988">
        <f t="shared" si="17"/>
        <v>43556</v>
      </c>
      <c r="E57" s="984">
        <v>35728</v>
      </c>
      <c r="F57" s="984">
        <v>38818</v>
      </c>
      <c r="G57" s="984">
        <v>37115</v>
      </c>
      <c r="H57" s="984">
        <f>VLOOKUP(D57,'[8]$ to INR'!$R$3:$S$131,2,TRUE)</f>
        <v>69.385499999999993</v>
      </c>
      <c r="I57" s="990">
        <f t="shared" si="18"/>
        <v>37367.915200000003</v>
      </c>
      <c r="J57" s="990">
        <f t="shared" si="6"/>
        <v>39748.013303507149</v>
      </c>
      <c r="K57" s="990">
        <v>38819</v>
      </c>
      <c r="L57" s="984">
        <v>16.202380952380953</v>
      </c>
      <c r="M57" s="984">
        <v>2.7130000000000001</v>
      </c>
      <c r="N57" s="984">
        <v>3.69</v>
      </c>
      <c r="O57" s="984">
        <f t="shared" si="19"/>
        <v>1553.8963414634145</v>
      </c>
      <c r="P57" s="990">
        <f t="shared" si="20"/>
        <v>24749.661100421999</v>
      </c>
      <c r="Q57" s="984">
        <f t="shared" si="21"/>
        <v>7.7087591</v>
      </c>
      <c r="R57" s="990">
        <f t="shared" si="8"/>
        <v>26315.904343026061</v>
      </c>
      <c r="S57" s="985">
        <f t="shared" si="9"/>
        <v>1446.1036585365855</v>
      </c>
      <c r="T57" s="986">
        <f t="shared" si="10"/>
        <v>0.48203455284552849</v>
      </c>
      <c r="U57" s="987">
        <f t="shared" si="11"/>
        <v>0.51796544715447146</v>
      </c>
      <c r="V57" s="995">
        <f t="shared" si="12"/>
        <v>25504.644461517979</v>
      </c>
      <c r="W57" s="995">
        <f t="shared" si="22"/>
        <v>39665.62184032143</v>
      </c>
      <c r="X57" s="990">
        <f t="shared" si="13"/>
        <v>24843.635694978242</v>
      </c>
      <c r="Y57" s="990">
        <f t="shared" si="14"/>
        <v>38546.974928000003</v>
      </c>
      <c r="Z57" s="990">
        <f t="shared" si="23"/>
        <v>39764.064629350003</v>
      </c>
    </row>
    <row r="58" spans="1:26">
      <c r="A58">
        <v>5</v>
      </c>
      <c r="B58">
        <v>2019</v>
      </c>
      <c r="C58" t="s">
        <v>636</v>
      </c>
      <c r="D58" s="988">
        <f t="shared" si="17"/>
        <v>43586</v>
      </c>
      <c r="E58" s="984">
        <v>36627</v>
      </c>
      <c r="F58" s="984">
        <v>36862</v>
      </c>
      <c r="G58" s="984">
        <v>36976</v>
      </c>
      <c r="H58" s="984">
        <f>VLOOKUP(D58,'[8]$ to INR'!$R$3:$S$131,2,TRUE)</f>
        <v>69.813749999999999</v>
      </c>
      <c r="I58" s="990">
        <f t="shared" si="18"/>
        <v>38308.179300000003</v>
      </c>
      <c r="J58" s="990">
        <f t="shared" si="6"/>
        <v>37684.98549144643</v>
      </c>
      <c r="K58" s="990">
        <v>38673</v>
      </c>
      <c r="L58" s="984">
        <v>13.035714285714286</v>
      </c>
      <c r="M58" s="984">
        <v>2.5659999999999998</v>
      </c>
      <c r="N58" s="984">
        <v>3.69</v>
      </c>
      <c r="O58" s="984">
        <f t="shared" si="19"/>
        <v>1553.8963414634145</v>
      </c>
      <c r="P58" s="990">
        <f t="shared" si="20"/>
        <v>24830.752192455002</v>
      </c>
      <c r="Q58" s="984">
        <f t="shared" si="21"/>
        <v>7.5146161999999999</v>
      </c>
      <c r="R58" s="990">
        <f t="shared" si="8"/>
        <v>25811.478007251302</v>
      </c>
      <c r="S58" s="985">
        <f t="shared" si="9"/>
        <v>1446.1036585365855</v>
      </c>
      <c r="T58" s="986">
        <f t="shared" si="10"/>
        <v>0.48203455284552849</v>
      </c>
      <c r="U58" s="987">
        <f t="shared" si="11"/>
        <v>0.51796544715447146</v>
      </c>
      <c r="V58" s="995">
        <f t="shared" si="12"/>
        <v>25303.495922054404</v>
      </c>
      <c r="W58" s="995">
        <f t="shared" si="22"/>
        <v>37645.409098839285</v>
      </c>
      <c r="X58" s="990">
        <f t="shared" si="13"/>
        <v>24889.595741342779</v>
      </c>
      <c r="Y58" s="990">
        <f t="shared" si="14"/>
        <v>39516.906927000004</v>
      </c>
      <c r="Z58" s="990">
        <f t="shared" si="23"/>
        <v>37693.258869625002</v>
      </c>
    </row>
    <row r="59" spans="1:26">
      <c r="A59">
        <v>6</v>
      </c>
      <c r="B59">
        <v>2019</v>
      </c>
      <c r="C59" t="s">
        <v>637</v>
      </c>
      <c r="D59" s="988">
        <f t="shared" si="17"/>
        <v>43617</v>
      </c>
      <c r="E59" s="984">
        <v>29860</v>
      </c>
      <c r="F59" s="984">
        <v>31495</v>
      </c>
      <c r="G59" s="984">
        <v>28819</v>
      </c>
      <c r="H59" s="984">
        <f>VLOOKUP(D59,'[8]$ to INR'!$R$3:$S$131,2,TRUE)</f>
        <v>69.240600000000001</v>
      </c>
      <c r="I59" s="990">
        <f t="shared" si="18"/>
        <v>31230.574000000001</v>
      </c>
      <c r="J59" s="990">
        <f t="shared" si="6"/>
        <v>32176.162504995787</v>
      </c>
      <c r="K59" s="990">
        <v>30141</v>
      </c>
      <c r="L59" s="984">
        <v>9.6842105263157894</v>
      </c>
      <c r="M59" s="984">
        <v>2.633</v>
      </c>
      <c r="N59" s="984">
        <v>3.69</v>
      </c>
      <c r="O59" s="984">
        <f t="shared" si="19"/>
        <v>1553.8963414634145</v>
      </c>
      <c r="P59" s="990">
        <f t="shared" si="20"/>
        <v>24722.223624098398</v>
      </c>
      <c r="Q59" s="984">
        <f t="shared" si="21"/>
        <v>7.6031031000000002</v>
      </c>
      <c r="R59" s="990">
        <f t="shared" si="8"/>
        <v>25901.016288888313</v>
      </c>
      <c r="S59" s="985">
        <f t="shared" si="9"/>
        <v>1446.1036585365855</v>
      </c>
      <c r="T59" s="986">
        <f t="shared" si="10"/>
        <v>0.48203455284552849</v>
      </c>
      <c r="U59" s="987">
        <f t="shared" si="11"/>
        <v>0.51796544715447146</v>
      </c>
      <c r="V59" s="995">
        <f t="shared" si="12"/>
        <v>25290.442419167994</v>
      </c>
      <c r="W59" s="995">
        <f t="shared" si="22"/>
        <v>32175.708466494736</v>
      </c>
      <c r="X59" s="990">
        <f t="shared" si="13"/>
        <v>24792.951183985791</v>
      </c>
      <c r="Y59" s="990">
        <f t="shared" si="14"/>
        <v>32215.98386</v>
      </c>
      <c r="Z59" s="990">
        <f t="shared" si="23"/>
        <v>32177.313880530524</v>
      </c>
    </row>
    <row r="60" spans="1:26">
      <c r="A60">
        <v>7</v>
      </c>
      <c r="B60">
        <v>2019</v>
      </c>
      <c r="C60" t="s">
        <v>638</v>
      </c>
      <c r="D60" s="988">
        <f t="shared" si="17"/>
        <v>43647</v>
      </c>
      <c r="E60" s="984">
        <v>25807</v>
      </c>
      <c r="F60" s="984">
        <v>33741</v>
      </c>
      <c r="G60" s="984">
        <v>24431</v>
      </c>
      <c r="H60" s="984">
        <f>VLOOKUP(D60,'[8]$ to INR'!$R$3:$S$131,2,TRUE)</f>
        <v>69</v>
      </c>
      <c r="I60" s="990">
        <f t="shared" si="18"/>
        <v>26991.541300000001</v>
      </c>
      <c r="J60" s="990">
        <f t="shared" si="6"/>
        <v>34545.776249999995</v>
      </c>
      <c r="K60" s="990">
        <v>25552</v>
      </c>
      <c r="L60" s="984">
        <v>13.282608695652174</v>
      </c>
      <c r="M60" s="984">
        <v>2.2909999999999999</v>
      </c>
      <c r="N60" s="984">
        <v>3.69</v>
      </c>
      <c r="O60" s="984">
        <f t="shared" si="19"/>
        <v>1553.8963414634145</v>
      </c>
      <c r="P60" s="990">
        <f t="shared" si="20"/>
        <v>24676.664916000002</v>
      </c>
      <c r="Q60" s="984">
        <f t="shared" si="21"/>
        <v>7.1514237000000005</v>
      </c>
      <c r="R60" s="990">
        <f t="shared" si="8"/>
        <v>24277.653176760003</v>
      </c>
      <c r="S60" s="985">
        <f t="shared" si="9"/>
        <v>1446.1036585365855</v>
      </c>
      <c r="T60" s="986">
        <f t="shared" si="10"/>
        <v>0.48203455284552849</v>
      </c>
      <c r="U60" s="987">
        <f t="shared" si="11"/>
        <v>0.51796544715447146</v>
      </c>
      <c r="V60" s="995">
        <f t="shared" si="12"/>
        <v>24484.327470695331</v>
      </c>
      <c r="W60" s="995">
        <f t="shared" si="22"/>
        <v>34496.400269999998</v>
      </c>
      <c r="X60" s="990">
        <f t="shared" si="13"/>
        <v>24652.724211645604</v>
      </c>
      <c r="Y60" s="990">
        <f t="shared" si="14"/>
        <v>27843.198107</v>
      </c>
      <c r="Z60" s="990">
        <f t="shared" si="23"/>
        <v>34555.818809999997</v>
      </c>
    </row>
    <row r="61" spans="1:26">
      <c r="A61">
        <v>8</v>
      </c>
      <c r="B61">
        <v>2019</v>
      </c>
      <c r="C61" t="s">
        <v>639</v>
      </c>
      <c r="D61" s="988">
        <f t="shared" si="17"/>
        <v>43678</v>
      </c>
      <c r="E61" s="984">
        <v>26317</v>
      </c>
      <c r="F61" s="984">
        <v>31422</v>
      </c>
      <c r="G61" s="984">
        <v>25606</v>
      </c>
      <c r="H61" s="984">
        <f>VLOOKUP(D61,'[8]$ to INR'!$R$3:$S$131,2,TRUE)</f>
        <v>71.261250000000004</v>
      </c>
      <c r="I61" s="990">
        <f t="shared" si="18"/>
        <v>27524.9503</v>
      </c>
      <c r="J61" s="990">
        <f t="shared" si="6"/>
        <v>32241.806698687498</v>
      </c>
      <c r="K61" s="990">
        <v>26781</v>
      </c>
      <c r="L61" s="984">
        <v>13.574999999999999</v>
      </c>
      <c r="M61" s="984">
        <v>2.141</v>
      </c>
      <c r="N61" s="984">
        <v>3.69</v>
      </c>
      <c r="O61" s="984">
        <f t="shared" si="19"/>
        <v>1553.8963414634145</v>
      </c>
      <c r="P61" s="990">
        <f t="shared" si="20"/>
        <v>25104.842923845001</v>
      </c>
      <c r="Q61" s="984">
        <f t="shared" si="21"/>
        <v>6.9533187000000005</v>
      </c>
      <c r="R61" s="990">
        <f t="shared" si="8"/>
        <v>24378.707364750455</v>
      </c>
      <c r="S61" s="985">
        <f t="shared" si="9"/>
        <v>1446.1036585365855</v>
      </c>
      <c r="T61" s="986">
        <f t="shared" si="10"/>
        <v>0.48203455284552849</v>
      </c>
      <c r="U61" s="987">
        <f t="shared" si="11"/>
        <v>0.51796544715447146</v>
      </c>
      <c r="V61" s="995">
        <f t="shared" si="12"/>
        <v>24754.820494311622</v>
      </c>
      <c r="W61" s="995">
        <f t="shared" si="22"/>
        <v>32177.940726562498</v>
      </c>
      <c r="X61" s="990">
        <f t="shared" si="13"/>
        <v>25061.274790299325</v>
      </c>
      <c r="Y61" s="990">
        <f t="shared" si="14"/>
        <v>28393.437617000003</v>
      </c>
      <c r="Z61" s="990">
        <f t="shared" si="23"/>
        <v>32254.518708187497</v>
      </c>
    </row>
    <row r="62" spans="1:26">
      <c r="A62">
        <v>9</v>
      </c>
      <c r="B62">
        <v>2019</v>
      </c>
      <c r="C62" t="s">
        <v>640</v>
      </c>
      <c r="D62" s="988">
        <f t="shared" si="17"/>
        <v>43709</v>
      </c>
      <c r="E62" s="984">
        <v>24865</v>
      </c>
      <c r="F62" s="984">
        <v>33511</v>
      </c>
      <c r="G62" s="984">
        <v>25575</v>
      </c>
      <c r="H62" s="984">
        <f>VLOOKUP(D62,'[8]$ to INR'!$R$3:$S$131,2,TRUE)</f>
        <v>71.007800000000003</v>
      </c>
      <c r="I62" s="990">
        <f t="shared" si="18"/>
        <v>26006.303500000002</v>
      </c>
      <c r="J62" s="990">
        <f t="shared" si="6"/>
        <v>34435.430339697145</v>
      </c>
      <c r="K62" s="990">
        <v>26749</v>
      </c>
      <c r="L62" s="984">
        <v>16.523809523809526</v>
      </c>
      <c r="M62" s="984">
        <v>2.2509999999999999</v>
      </c>
      <c r="N62" s="984">
        <v>3.69</v>
      </c>
      <c r="O62" s="984">
        <f t="shared" si="19"/>
        <v>1553.8963414634145</v>
      </c>
      <c r="P62" s="990">
        <f t="shared" si="20"/>
        <v>25056.851009599202</v>
      </c>
      <c r="Q62" s="984">
        <f t="shared" si="21"/>
        <v>7.0985957000000006</v>
      </c>
      <c r="R62" s="990">
        <f t="shared" si="8"/>
        <v>24799.538656325836</v>
      </c>
      <c r="S62" s="985">
        <f t="shared" si="9"/>
        <v>1446.1036585365855</v>
      </c>
      <c r="T62" s="986">
        <f t="shared" si="10"/>
        <v>0.48203455284552849</v>
      </c>
      <c r="U62" s="987">
        <f t="shared" si="11"/>
        <v>0.51796544715447146</v>
      </c>
      <c r="V62" s="995">
        <f t="shared" si="12"/>
        <v>24932.817564447443</v>
      </c>
      <c r="W62" s="995">
        <f t="shared" si="22"/>
        <v>34331.051881038096</v>
      </c>
      <c r="X62" s="990">
        <f t="shared" si="13"/>
        <v>25041.412268402801</v>
      </c>
      <c r="Y62" s="990">
        <f t="shared" si="14"/>
        <v>26826.873364999999</v>
      </c>
      <c r="Z62" s="990">
        <f t="shared" si="23"/>
        <v>34455.504343493332</v>
      </c>
    </row>
    <row r="63" spans="1:26">
      <c r="A63">
        <v>10</v>
      </c>
      <c r="B63">
        <v>2019</v>
      </c>
      <c r="C63" t="s">
        <v>641</v>
      </c>
      <c r="D63" s="988">
        <f t="shared" si="17"/>
        <v>43739</v>
      </c>
      <c r="E63" s="984">
        <v>29777</v>
      </c>
      <c r="F63" s="984">
        <v>33498</v>
      </c>
      <c r="G63" s="984">
        <v>30841</v>
      </c>
      <c r="H63" s="984">
        <f>VLOOKUP(D63,'[8]$ to INR'!$R$3:$S$131,2,TRUE)</f>
        <v>70.898499999999999</v>
      </c>
      <c r="I63" s="990">
        <f t="shared" si="18"/>
        <v>31143.764300000003</v>
      </c>
      <c r="J63" s="990">
        <f t="shared" si="6"/>
        <v>35055.66729761818</v>
      </c>
      <c r="K63" s="990">
        <v>32256</v>
      </c>
      <c r="L63" s="984">
        <v>36.409090909090907</v>
      </c>
      <c r="M63" s="984">
        <v>2.4279999999999999</v>
      </c>
      <c r="N63" s="984">
        <v>3.23</v>
      </c>
      <c r="O63" s="984">
        <f t="shared" si="19"/>
        <v>1553.8963414634145</v>
      </c>
      <c r="P63" s="990">
        <f t="shared" si="20"/>
        <v>23362.582985118002</v>
      </c>
      <c r="Q63" s="984">
        <f t="shared" si="21"/>
        <v>7.3323596000000002</v>
      </c>
      <c r="R63" s="990">
        <f t="shared" si="8"/>
        <v>25576.782217349522</v>
      </c>
      <c r="S63" s="985">
        <f t="shared" si="9"/>
        <v>1446.1036585365855</v>
      </c>
      <c r="T63" s="986">
        <f t="shared" si="10"/>
        <v>0.48203455284552849</v>
      </c>
      <c r="U63" s="987">
        <f t="shared" si="11"/>
        <v>0.51796544715447146</v>
      </c>
      <c r="V63" s="995">
        <f t="shared" si="12"/>
        <v>24429.903521937635</v>
      </c>
      <c r="W63" s="995">
        <f t="shared" si="22"/>
        <v>34641.378817818179</v>
      </c>
      <c r="X63" s="990">
        <f t="shared" si="13"/>
        <v>23495.434939051891</v>
      </c>
      <c r="Y63" s="990">
        <f t="shared" si="14"/>
        <v>32126.435077000002</v>
      </c>
      <c r="Z63" s="990">
        <f t="shared" si="23"/>
        <v>35132.086890790903</v>
      </c>
    </row>
    <row r="64" spans="1:26">
      <c r="A64">
        <v>11</v>
      </c>
      <c r="B64">
        <v>2019</v>
      </c>
      <c r="C64" t="s">
        <v>642</v>
      </c>
      <c r="D64" s="988">
        <f t="shared" si="17"/>
        <v>43770</v>
      </c>
      <c r="E64" s="984">
        <v>30786</v>
      </c>
      <c r="F64" s="984">
        <v>35966</v>
      </c>
      <c r="G64" s="984">
        <v>31860</v>
      </c>
      <c r="H64" s="984">
        <f>VLOOKUP(D64,'[8]$ to INR'!$R$3:$S$131,2,TRUE)</f>
        <v>71.637749999999997</v>
      </c>
      <c r="I64" s="990">
        <f t="shared" si="18"/>
        <v>32199.077400000002</v>
      </c>
      <c r="J64" s="990">
        <f t="shared" si="6"/>
        <v>37460.481930342859</v>
      </c>
      <c r="K64" s="990">
        <v>33323</v>
      </c>
      <c r="L64" s="984">
        <v>33.547619047619051</v>
      </c>
      <c r="M64" s="984">
        <v>2.597</v>
      </c>
      <c r="N64" s="984">
        <v>3.23</v>
      </c>
      <c r="O64" s="984">
        <f t="shared" si="19"/>
        <v>1553.8963414634145</v>
      </c>
      <c r="P64" s="990">
        <f t="shared" si="20"/>
        <v>23485.113220196999</v>
      </c>
      <c r="Q64" s="984">
        <f t="shared" si="21"/>
        <v>7.5555579000000002</v>
      </c>
      <c r="R64" s="990">
        <f t="shared" si="8"/>
        <v>26630.147863175673</v>
      </c>
      <c r="S64" s="985">
        <f t="shared" si="9"/>
        <v>1446.1036585365855</v>
      </c>
      <c r="T64" s="986">
        <f t="shared" si="10"/>
        <v>0.48203455284552849</v>
      </c>
      <c r="U64" s="987">
        <f t="shared" si="11"/>
        <v>0.51796544715447146</v>
      </c>
      <c r="V64" s="995">
        <f t="shared" si="12"/>
        <v>25001.12858800892</v>
      </c>
      <c r="W64" s="995">
        <f t="shared" si="22"/>
        <v>37092.09868792857</v>
      </c>
      <c r="X64" s="990">
        <f t="shared" si="13"/>
        <v>23673.81529877572</v>
      </c>
      <c r="Y64" s="990">
        <f t="shared" si="14"/>
        <v>33215.046186000007</v>
      </c>
      <c r="Z64" s="990">
        <f t="shared" si="23"/>
        <v>37528.566528049996</v>
      </c>
    </row>
    <row r="65" spans="1:26">
      <c r="A65">
        <v>12</v>
      </c>
      <c r="B65">
        <v>2019</v>
      </c>
      <c r="C65" t="s">
        <v>643</v>
      </c>
      <c r="D65" s="988">
        <f t="shared" si="17"/>
        <v>43800</v>
      </c>
      <c r="E65" s="984">
        <v>31325</v>
      </c>
      <c r="F65" s="984">
        <v>37493</v>
      </c>
      <c r="G65" s="984">
        <v>32393</v>
      </c>
      <c r="H65" s="984">
        <f>VLOOKUP(D65,'[8]$ to INR'!$R$3:$S$131,2,TRUE)</f>
        <v>71.273200000000003</v>
      </c>
      <c r="I65" s="990">
        <f t="shared" si="18"/>
        <v>32762.817500000001</v>
      </c>
      <c r="J65" s="990">
        <f t="shared" si="6"/>
        <v>39394.188773531423</v>
      </c>
      <c r="K65" s="990">
        <v>33880</v>
      </c>
      <c r="L65" s="984">
        <v>46.142857142857146</v>
      </c>
      <c r="M65" s="984">
        <v>2.4700000000000002</v>
      </c>
      <c r="N65" s="984">
        <v>3.23</v>
      </c>
      <c r="O65" s="984">
        <f t="shared" si="19"/>
        <v>1553.8963414634145</v>
      </c>
      <c r="P65" s="990">
        <f t="shared" si="20"/>
        <v>23424.689280801598</v>
      </c>
      <c r="Q65" s="984">
        <f t="shared" si="21"/>
        <v>7.387829</v>
      </c>
      <c r="R65" s="990">
        <f t="shared" si="8"/>
        <v>25906.467323033765</v>
      </c>
      <c r="S65" s="985">
        <f t="shared" si="9"/>
        <v>1446.1036585365855</v>
      </c>
      <c r="T65" s="986">
        <f t="shared" si="10"/>
        <v>0.48203455284552849</v>
      </c>
      <c r="U65" s="987">
        <f t="shared" si="11"/>
        <v>0.51796544715447146</v>
      </c>
      <c r="V65" s="995">
        <f t="shared" si="12"/>
        <v>24620.992049650831</v>
      </c>
      <c r="W65" s="995">
        <f t="shared" si="22"/>
        <v>38834.323772914286</v>
      </c>
      <c r="X65" s="990">
        <f t="shared" si="13"/>
        <v>23573.595963335527</v>
      </c>
      <c r="Y65" s="990">
        <f t="shared" si="14"/>
        <v>33796.573824999999</v>
      </c>
      <c r="Z65" s="990">
        <f t="shared" si="23"/>
        <v>39497.082609039993</v>
      </c>
    </row>
    <row r="66" spans="1:26">
      <c r="A66">
        <v>1</v>
      </c>
      <c r="B66">
        <v>2020</v>
      </c>
      <c r="C66" t="s">
        <v>632</v>
      </c>
      <c r="D66" s="988">
        <f t="shared" si="17"/>
        <v>43831</v>
      </c>
      <c r="E66" s="984">
        <v>40266</v>
      </c>
      <c r="F66" s="984">
        <v>36679</v>
      </c>
      <c r="G66" s="984">
        <v>42047</v>
      </c>
      <c r="H66" s="984">
        <f>VLOOKUP(D66,'[8]$ to INR'!$R$3:$S$131,2,TRUE)</f>
        <v>71.230999999999995</v>
      </c>
      <c r="I66" s="990">
        <f t="shared" si="18"/>
        <v>42114.2094</v>
      </c>
      <c r="J66" s="990">
        <f t="shared" si="6"/>
        <v>38199.546768228567</v>
      </c>
      <c r="K66" s="990">
        <v>43977</v>
      </c>
      <c r="L66" s="984">
        <v>34.452380952380949</v>
      </c>
      <c r="M66" s="984">
        <v>2.1579999999999999</v>
      </c>
      <c r="N66" s="984">
        <v>3.23</v>
      </c>
      <c r="O66" s="984">
        <f t="shared" si="19"/>
        <v>1553.8963414634145</v>
      </c>
      <c r="P66" s="990">
        <f t="shared" si="20"/>
        <v>23417.694656627998</v>
      </c>
      <c r="Q66" s="984">
        <f t="shared" si="21"/>
        <v>6.9757706000000006</v>
      </c>
      <c r="R66" s="990">
        <f t="shared" si="8"/>
        <v>24447.04288794312</v>
      </c>
      <c r="S66" s="985">
        <f t="shared" si="9"/>
        <v>1446.1036585365855</v>
      </c>
      <c r="T66" s="986">
        <f t="shared" si="10"/>
        <v>0.48203455284552849</v>
      </c>
      <c r="U66" s="987">
        <f t="shared" si="11"/>
        <v>0.51796544715447146</v>
      </c>
      <c r="V66" s="995">
        <f t="shared" si="12"/>
        <v>23913.876071032319</v>
      </c>
      <c r="W66" s="995">
        <f t="shared" si="22"/>
        <v>37821.296446952379</v>
      </c>
      <c r="X66" s="990">
        <f t="shared" si="13"/>
        <v>23479.455550506904</v>
      </c>
      <c r="Y66" s="990">
        <f t="shared" si="14"/>
        <v>43443.027666000002</v>
      </c>
      <c r="Z66" s="990">
        <f t="shared" si="23"/>
        <v>38269.419101533334</v>
      </c>
    </row>
    <row r="67" spans="1:26">
      <c r="A67">
        <v>2</v>
      </c>
      <c r="B67">
        <v>2020</v>
      </c>
      <c r="C67" t="s">
        <v>633</v>
      </c>
      <c r="D67" s="988">
        <f t="shared" si="17"/>
        <v>43862</v>
      </c>
      <c r="E67" s="984">
        <v>36292</v>
      </c>
      <c r="F67" s="984">
        <v>32326</v>
      </c>
      <c r="G67" s="984">
        <v>39167</v>
      </c>
      <c r="H67" s="984">
        <f>VLOOKUP(D67,'[8]$ to INR'!$R$3:$S$131,2,TRUE)</f>
        <v>71.865499999999997</v>
      </c>
      <c r="I67" s="990">
        <f t="shared" si="18"/>
        <v>37957.802800000005</v>
      </c>
      <c r="J67" s="990">
        <f t="shared" si="6"/>
        <v>33686.174287149996</v>
      </c>
      <c r="K67" s="990">
        <v>40964</v>
      </c>
      <c r="L67" s="984">
        <v>29.95</v>
      </c>
      <c r="M67" s="984">
        <v>1.877</v>
      </c>
      <c r="N67" s="984">
        <v>3.23</v>
      </c>
      <c r="O67" s="984">
        <f t="shared" si="19"/>
        <v>1553.8963414634145</v>
      </c>
      <c r="P67" s="990">
        <f t="shared" si="20"/>
        <v>23522.862643314002</v>
      </c>
      <c r="Q67" s="984">
        <f t="shared" si="21"/>
        <v>6.6046539000000006</v>
      </c>
      <c r="R67" s="990">
        <f t="shared" ref="R67:R97" si="24">Q67*49.2*H67</f>
        <v>23352.620338642144</v>
      </c>
      <c r="S67" s="985">
        <f t="shared" si="9"/>
        <v>1446.1036585365855</v>
      </c>
      <c r="T67" s="986">
        <f t="shared" si="10"/>
        <v>0.48203455284552849</v>
      </c>
      <c r="U67" s="987">
        <f t="shared" si="11"/>
        <v>0.51796544715447146</v>
      </c>
      <c r="V67" s="995">
        <f t="shared" si="12"/>
        <v>23440.799970106109</v>
      </c>
      <c r="W67" s="995">
        <f t="shared" ref="W67:W97" si="25">(1.011*F67+0.02*H67)*0.55+0.22*(1.011*F67+17*H67)+0.23*(F67+L67*H67)</f>
        <v>33364.414207249996</v>
      </c>
      <c r="X67" s="990">
        <f t="shared" si="13"/>
        <v>23512.648105033688</v>
      </c>
      <c r="Y67" s="990">
        <f t="shared" si="14"/>
        <v>39155.475092000001</v>
      </c>
      <c r="Z67" s="990">
        <f t="shared" ref="Z67:Z97" si="26">(1.011*F67+0.02*H67)*0.36+0.15*(1.011*F67+17*H67)+0.49*(F67+L67*H67)</f>
        <v>33745.785461849999</v>
      </c>
    </row>
    <row r="68" spans="1:26">
      <c r="A68">
        <v>3</v>
      </c>
      <c r="B68">
        <v>2020</v>
      </c>
      <c r="C68" t="s">
        <v>634</v>
      </c>
      <c r="D68" s="988">
        <f t="shared" si="17"/>
        <v>43891</v>
      </c>
      <c r="E68" s="984">
        <v>32173</v>
      </c>
      <c r="F68" s="984">
        <v>18359</v>
      </c>
      <c r="G68" s="984">
        <v>35914</v>
      </c>
      <c r="H68" s="984">
        <f>VLOOKUP(D68,'[8]$ to INR'!$R$3:$S$131,2,TRUE)</f>
        <v>74.991</v>
      </c>
      <c r="I68" s="990">
        <f t="shared" si="18"/>
        <v>33649.740700000002</v>
      </c>
      <c r="J68" s="990">
        <f t="shared" ref="J68:J97" si="27">(1.011*F68+0.02*H68)*0.39+0.16*(1.011*F68+17*H68)+0.45*(F68+L68*H68)</f>
        <v>19267.487385027271</v>
      </c>
      <c r="K68" s="990">
        <v>37562</v>
      </c>
      <c r="L68" s="984">
        <v>17.568181818181817</v>
      </c>
      <c r="M68" s="984">
        <v>1.821</v>
      </c>
      <c r="N68" s="984">
        <v>3.23</v>
      </c>
      <c r="O68" s="984">
        <f t="shared" si="19"/>
        <v>1553.8963414634145</v>
      </c>
      <c r="P68" s="990">
        <f t="shared" si="20"/>
        <v>24040.912355508</v>
      </c>
      <c r="Q68" s="984">
        <f t="shared" si="21"/>
        <v>6.5306946999999997</v>
      </c>
      <c r="R68" s="990">
        <f t="shared" si="24"/>
        <v>24095.371651386842</v>
      </c>
      <c r="S68" s="985">
        <f t="shared" ref="S68:S97" si="28">3000-O68</f>
        <v>1446.1036585365855</v>
      </c>
      <c r="T68" s="986">
        <f t="shared" ref="T68:T97" si="29">S68/3000</f>
        <v>0.48203455284552849</v>
      </c>
      <c r="U68" s="987">
        <f t="shared" ref="U68:U97" si="30">100%-T68</f>
        <v>0.51796544715447146</v>
      </c>
      <c r="V68" s="995">
        <f t="shared" ref="V68:V97" si="31">(T68*R68)+(U68*P68)</f>
        <v>24067.163617845239</v>
      </c>
      <c r="W68" s="995">
        <f t="shared" si="25"/>
        <v>19098.806741227272</v>
      </c>
      <c r="X68" s="990">
        <f t="shared" ref="X68:X97" si="32">0.94*P68+0.06*R68</f>
        <v>24044.179913260727</v>
      </c>
      <c r="Y68" s="990">
        <f t="shared" ref="Y68:Y97" si="33">0.39*I68+0.61*1.1*E68</f>
        <v>34711.481873000004</v>
      </c>
      <c r="Z68" s="990">
        <f t="shared" si="26"/>
        <v>19299.314181336362</v>
      </c>
    </row>
    <row r="69" spans="1:26">
      <c r="A69">
        <v>4</v>
      </c>
      <c r="B69">
        <v>2020</v>
      </c>
      <c r="C69" t="s">
        <v>635</v>
      </c>
      <c r="D69" s="988">
        <f t="shared" si="17"/>
        <v>43922</v>
      </c>
      <c r="E69" s="984">
        <v>17517</v>
      </c>
      <c r="F69" s="984">
        <v>8251</v>
      </c>
      <c r="G69" s="984">
        <v>18278</v>
      </c>
      <c r="H69" s="984">
        <f>VLOOKUP(D69,'[8]$ to INR'!$R$3:$S$131,2,TRUE)</f>
        <v>76.111999999999995</v>
      </c>
      <c r="I69" s="990">
        <f t="shared" si="18"/>
        <v>18321.030300000002</v>
      </c>
      <c r="J69" s="990">
        <f t="shared" si="27"/>
        <v>8796.4033207428565</v>
      </c>
      <c r="K69" s="990">
        <v>19117</v>
      </c>
      <c r="L69" s="984">
        <v>8.4047619047619051</v>
      </c>
      <c r="M69" s="984">
        <v>1.6339999999999999</v>
      </c>
      <c r="N69" s="984">
        <v>2.39</v>
      </c>
      <c r="O69" s="984">
        <f t="shared" si="19"/>
        <v>1553.8963414634145</v>
      </c>
      <c r="P69" s="990">
        <f t="shared" si="20"/>
        <v>20945.901743808005</v>
      </c>
      <c r="Q69" s="984">
        <f t="shared" si="21"/>
        <v>6.2837238000000006</v>
      </c>
      <c r="R69" s="990">
        <f t="shared" si="24"/>
        <v>23530.725864587523</v>
      </c>
      <c r="S69" s="985">
        <f t="shared" si="28"/>
        <v>1446.1036585365855</v>
      </c>
      <c r="T69" s="986">
        <f t="shared" si="29"/>
        <v>0.48203455284552849</v>
      </c>
      <c r="U69" s="987">
        <f t="shared" si="30"/>
        <v>0.51796544715447146</v>
      </c>
      <c r="V69" s="995">
        <f t="shared" si="31"/>
        <v>22191.876283052297</v>
      </c>
      <c r="W69" s="995">
        <f t="shared" si="25"/>
        <v>8753.5138267619041</v>
      </c>
      <c r="X69" s="990">
        <f t="shared" si="32"/>
        <v>21100.991191054774</v>
      </c>
      <c r="Y69" s="990">
        <f t="shared" si="33"/>
        <v>18899.108817</v>
      </c>
      <c r="Z69" s="990">
        <f t="shared" si="26"/>
        <v>8805.3763030666669</v>
      </c>
    </row>
    <row r="70" spans="1:26">
      <c r="A70">
        <v>5</v>
      </c>
      <c r="B70">
        <v>2020</v>
      </c>
      <c r="C70" t="s">
        <v>636</v>
      </c>
      <c r="D70" s="988">
        <f t="shared" si="17"/>
        <v>43952</v>
      </c>
      <c r="E70" s="984">
        <v>25754</v>
      </c>
      <c r="F70" s="984">
        <v>14695</v>
      </c>
      <c r="G70" s="984">
        <v>25754</v>
      </c>
      <c r="H70" s="984">
        <f>VLOOKUP(D70,'[8]$ to INR'!$R$3:$S$131,2,TRUE)</f>
        <v>75.695999999999998</v>
      </c>
      <c r="I70" s="990">
        <f t="shared" si="18"/>
        <v>26936.1086</v>
      </c>
      <c r="J70" s="990">
        <f t="shared" si="27"/>
        <v>15522.152698799999</v>
      </c>
      <c r="K70" s="990">
        <v>26936</v>
      </c>
      <c r="L70" s="984">
        <v>15.611111111111111</v>
      </c>
      <c r="M70" s="984">
        <v>1.794</v>
      </c>
      <c r="N70" s="984">
        <v>2.39</v>
      </c>
      <c r="O70" s="984">
        <f t="shared" si="19"/>
        <v>1553.8963414634145</v>
      </c>
      <c r="P70" s="990">
        <f t="shared" si="20"/>
        <v>20894.881721664002</v>
      </c>
      <c r="Q70" s="984">
        <f t="shared" si="21"/>
        <v>6.4950358000000001</v>
      </c>
      <c r="R70" s="990">
        <f t="shared" si="24"/>
        <v>24189.092911906562</v>
      </c>
      <c r="S70" s="985">
        <f t="shared" si="28"/>
        <v>1446.1036585365855</v>
      </c>
      <c r="T70" s="986">
        <f t="shared" si="29"/>
        <v>0.48203455284552849</v>
      </c>
      <c r="U70" s="987">
        <f t="shared" si="30"/>
        <v>0.51796544715447146</v>
      </c>
      <c r="V70" s="995">
        <f t="shared" si="31"/>
        <v>22482.805339731309</v>
      </c>
      <c r="W70" s="995">
        <f t="shared" si="25"/>
        <v>15375.193039333331</v>
      </c>
      <c r="X70" s="990">
        <f t="shared" si="32"/>
        <v>21092.534393078553</v>
      </c>
      <c r="Y70" s="990">
        <f t="shared" si="33"/>
        <v>27786.016353999999</v>
      </c>
      <c r="Z70" s="990">
        <f t="shared" si="26"/>
        <v>15550.041107866666</v>
      </c>
    </row>
    <row r="71" spans="1:26">
      <c r="A71">
        <v>6</v>
      </c>
      <c r="B71">
        <v>2020</v>
      </c>
      <c r="C71" t="s">
        <v>637</v>
      </c>
      <c r="D71" s="988">
        <f t="shared" si="17"/>
        <v>43983</v>
      </c>
      <c r="E71" s="984">
        <v>26516</v>
      </c>
      <c r="F71" s="984">
        <v>25514</v>
      </c>
      <c r="G71" s="984">
        <v>25001</v>
      </c>
      <c r="H71" s="984">
        <f>VLOOKUP(D71,'[8]$ to INR'!$R$3:$S$131,2,TRUE)</f>
        <v>75.641500000000008</v>
      </c>
      <c r="I71" s="990">
        <f t="shared" si="18"/>
        <v>27733.0844</v>
      </c>
      <c r="J71" s="990">
        <f t="shared" si="27"/>
        <v>26642.498786824999</v>
      </c>
      <c r="K71" s="990">
        <v>26148</v>
      </c>
      <c r="L71" s="984">
        <v>22.556818181818183</v>
      </c>
      <c r="M71" s="984">
        <v>1.722</v>
      </c>
      <c r="N71" s="984">
        <v>2.39</v>
      </c>
      <c r="O71" s="984">
        <f t="shared" si="19"/>
        <v>1553.8963414634145</v>
      </c>
      <c r="P71" s="990">
        <f t="shared" si="20"/>
        <v>20888.197608186005</v>
      </c>
      <c r="Q71" s="984">
        <f t="shared" si="21"/>
        <v>6.3999454</v>
      </c>
      <c r="R71" s="990">
        <f t="shared" si="24"/>
        <v>23817.792322725727</v>
      </c>
      <c r="S71" s="985">
        <f t="shared" si="28"/>
        <v>1446.1036585365855</v>
      </c>
      <c r="T71" s="986">
        <f t="shared" si="29"/>
        <v>0.48203455284552849</v>
      </c>
      <c r="U71" s="987">
        <f t="shared" si="30"/>
        <v>0.51796544715447146</v>
      </c>
      <c r="V71" s="995">
        <f t="shared" si="31"/>
        <v>22300.363486427781</v>
      </c>
      <c r="W71" s="995">
        <f t="shared" si="25"/>
        <v>26406.268105875002</v>
      </c>
      <c r="X71" s="990">
        <f t="shared" si="32"/>
        <v>21063.973291058388</v>
      </c>
      <c r="Y71" s="990">
        <f t="shared" si="33"/>
        <v>28608.138916000004</v>
      </c>
      <c r="Z71" s="990">
        <f t="shared" si="26"/>
        <v>26686.617449425001</v>
      </c>
    </row>
    <row r="72" spans="1:26">
      <c r="A72">
        <v>7</v>
      </c>
      <c r="B72">
        <v>2020</v>
      </c>
      <c r="C72" t="s">
        <v>638</v>
      </c>
      <c r="D72" s="988">
        <f t="shared" si="17"/>
        <v>44013</v>
      </c>
      <c r="E72" s="984">
        <v>26959</v>
      </c>
      <c r="F72" s="984">
        <v>28109</v>
      </c>
      <c r="G72" s="984">
        <v>25462</v>
      </c>
      <c r="H72" s="984">
        <f>VLOOKUP(D72,'[8]$ to INR'!$R$3:$S$131,2,TRUE)</f>
        <v>74.941999999999993</v>
      </c>
      <c r="I72" s="990">
        <f t="shared" si="18"/>
        <v>28196.418100000003</v>
      </c>
      <c r="J72" s="990">
        <f t="shared" si="27"/>
        <v>29295.268687600001</v>
      </c>
      <c r="K72" s="990">
        <v>26630</v>
      </c>
      <c r="L72" s="984">
        <v>24.071428571428573</v>
      </c>
      <c r="M72" s="984">
        <v>1.4950000000000001</v>
      </c>
      <c r="N72" s="984">
        <v>2.39</v>
      </c>
      <c r="O72" s="984">
        <f t="shared" si="19"/>
        <v>1553.8963414634145</v>
      </c>
      <c r="P72" s="990">
        <f t="shared" si="20"/>
        <v>20802.407931528</v>
      </c>
      <c r="Q72" s="984">
        <f t="shared" si="21"/>
        <v>6.1001465000000001</v>
      </c>
      <c r="R72" s="990">
        <f t="shared" si="24"/>
        <v>22492.133206947598</v>
      </c>
      <c r="S72" s="985">
        <f t="shared" si="28"/>
        <v>1446.1036585365855</v>
      </c>
      <c r="T72" s="986">
        <f t="shared" si="29"/>
        <v>0.48203455284552849</v>
      </c>
      <c r="U72" s="987">
        <f t="shared" si="30"/>
        <v>0.51796544715447146</v>
      </c>
      <c r="V72" s="995">
        <f t="shared" si="31"/>
        <v>21616.913899096671</v>
      </c>
      <c r="W72" s="995">
        <f t="shared" si="25"/>
        <v>29043.101701999996</v>
      </c>
      <c r="X72" s="990">
        <f t="shared" si="32"/>
        <v>20903.791448053176</v>
      </c>
      <c r="Y72" s="990">
        <f t="shared" si="33"/>
        <v>29086.092059000002</v>
      </c>
      <c r="Z72" s="990">
        <f t="shared" si="26"/>
        <v>29342.2740624</v>
      </c>
    </row>
    <row r="73" spans="1:26">
      <c r="A73">
        <v>8</v>
      </c>
      <c r="B73">
        <v>2020</v>
      </c>
      <c r="C73" t="s">
        <v>639</v>
      </c>
      <c r="D73" s="988">
        <f t="shared" si="17"/>
        <v>44044</v>
      </c>
      <c r="E73" s="984">
        <v>27156</v>
      </c>
      <c r="F73" s="984">
        <v>27974</v>
      </c>
      <c r="G73" s="984">
        <v>25668</v>
      </c>
      <c r="H73" s="984">
        <f>VLOOKUP(D73,'[8]$ to INR'!$R$3:$S$131,2,TRUE)</f>
        <v>74.241799999999984</v>
      </c>
      <c r="I73" s="990">
        <f t="shared" si="18"/>
        <v>28402.4604</v>
      </c>
      <c r="J73" s="990">
        <f t="shared" si="27"/>
        <v>28670.242549164999</v>
      </c>
      <c r="K73" s="990">
        <v>26846</v>
      </c>
      <c r="L73" s="984">
        <v>9.7125000000000004</v>
      </c>
      <c r="M73" s="984">
        <v>1.8540000000000001</v>
      </c>
      <c r="N73" s="984">
        <v>2.39</v>
      </c>
      <c r="O73" s="984">
        <f t="shared" si="19"/>
        <v>1553.8963414634145</v>
      </c>
      <c r="P73" s="990">
        <f t="shared" si="20"/>
        <v>20716.532403871199</v>
      </c>
      <c r="Q73" s="984">
        <f t="shared" si="21"/>
        <v>6.5742778000000008</v>
      </c>
      <c r="R73" s="990">
        <f t="shared" si="24"/>
        <v>24013.841904544366</v>
      </c>
      <c r="S73" s="985">
        <f t="shared" si="28"/>
        <v>1446.1036585365855</v>
      </c>
      <c r="T73" s="986">
        <f t="shared" si="29"/>
        <v>0.48203455284552849</v>
      </c>
      <c r="U73" s="987">
        <f t="shared" si="30"/>
        <v>0.51796544715447146</v>
      </c>
      <c r="V73" s="995">
        <f t="shared" si="31"/>
        <v>22305.949514621501</v>
      </c>
      <c r="W73" s="995">
        <f t="shared" si="25"/>
        <v>28655.267672775</v>
      </c>
      <c r="X73" s="990">
        <f t="shared" si="32"/>
        <v>20914.370973911587</v>
      </c>
      <c r="Y73" s="990">
        <f t="shared" si="33"/>
        <v>29298.635556000001</v>
      </c>
      <c r="Z73" s="990">
        <f t="shared" si="26"/>
        <v>28674.111277384996</v>
      </c>
    </row>
    <row r="74" spans="1:26">
      <c r="A74">
        <v>9</v>
      </c>
      <c r="B74">
        <v>2020</v>
      </c>
      <c r="C74" t="s">
        <v>640</v>
      </c>
      <c r="D74" s="988">
        <f t="shared" si="17"/>
        <v>44075</v>
      </c>
      <c r="E74" s="984">
        <v>26814</v>
      </c>
      <c r="F74" s="984">
        <v>27615</v>
      </c>
      <c r="G74" s="984">
        <v>26080</v>
      </c>
      <c r="H74" s="984">
        <f>VLOOKUP(D74,'[8]$ to INR'!$R$3:$S$131,2,TRUE)</f>
        <v>73.482000000000014</v>
      </c>
      <c r="I74" s="990">
        <f t="shared" si="18"/>
        <v>28044.762600000002</v>
      </c>
      <c r="J74" s="990">
        <f t="shared" si="27"/>
        <v>28510.833829145449</v>
      </c>
      <c r="K74" s="990">
        <v>27277</v>
      </c>
      <c r="L74" s="984">
        <v>15.977272727272727</v>
      </c>
      <c r="M74" s="984">
        <v>2.5790000000000002</v>
      </c>
      <c r="N74" s="984">
        <v>2.39</v>
      </c>
      <c r="O74" s="984">
        <f t="shared" si="19"/>
        <v>1553.8963414634145</v>
      </c>
      <c r="P74" s="990">
        <f t="shared" si="20"/>
        <v>20623.347276888002</v>
      </c>
      <c r="Q74" s="984">
        <f t="shared" si="21"/>
        <v>7.5317853000000001</v>
      </c>
      <c r="R74" s="990">
        <f t="shared" si="24"/>
        <v>27229.771852798327</v>
      </c>
      <c r="S74" s="985">
        <f t="shared" si="28"/>
        <v>1446.1036585365855</v>
      </c>
      <c r="T74" s="986">
        <f t="shared" si="29"/>
        <v>0.48203455284552849</v>
      </c>
      <c r="U74" s="987">
        <f t="shared" si="30"/>
        <v>0.51796544715447146</v>
      </c>
      <c r="V74" s="995">
        <f t="shared" si="31"/>
        <v>23807.872193244646</v>
      </c>
      <c r="W74" s="995">
        <f t="shared" si="25"/>
        <v>28394.559681545452</v>
      </c>
      <c r="X74" s="990">
        <f t="shared" si="32"/>
        <v>21019.732751442622</v>
      </c>
      <c r="Y74" s="990">
        <f t="shared" si="33"/>
        <v>28929.651414</v>
      </c>
      <c r="Z74" s="990">
        <f t="shared" si="26"/>
        <v>28533.10887812727</v>
      </c>
    </row>
    <row r="75" spans="1:26">
      <c r="A75">
        <v>10</v>
      </c>
      <c r="B75">
        <v>2020</v>
      </c>
      <c r="C75" t="s">
        <v>641</v>
      </c>
      <c r="D75" s="988">
        <f t="shared" si="17"/>
        <v>44105</v>
      </c>
      <c r="E75" s="984">
        <v>27627</v>
      </c>
      <c r="F75" s="984">
        <v>27366</v>
      </c>
      <c r="G75" s="984">
        <v>27995</v>
      </c>
      <c r="H75" s="984">
        <f>VLOOKUP(D75,'[8]$ to INR'!$R$3:$S$131,2,TRUE)</f>
        <v>73.708750000000009</v>
      </c>
      <c r="I75" s="990">
        <f t="shared" si="18"/>
        <v>28895.079300000001</v>
      </c>
      <c r="J75" s="990">
        <f t="shared" si="27"/>
        <v>28129.146599272728</v>
      </c>
      <c r="K75" s="990">
        <v>29280</v>
      </c>
      <c r="L75" s="984">
        <v>11.954545454545455</v>
      </c>
      <c r="M75" s="984">
        <v>2.101</v>
      </c>
      <c r="N75" s="984">
        <v>1.79</v>
      </c>
      <c r="O75" s="984">
        <f t="shared" si="19"/>
        <v>1553.8963414634145</v>
      </c>
      <c r="P75" s="990">
        <f t="shared" si="20"/>
        <v>18381.711629385001</v>
      </c>
      <c r="Q75" s="984">
        <f t="shared" si="21"/>
        <v>6.9004907000000006</v>
      </c>
      <c r="R75" s="990">
        <f t="shared" si="24"/>
        <v>25024.425959074357</v>
      </c>
      <c r="S75" s="985">
        <f t="shared" si="28"/>
        <v>1446.1036585365855</v>
      </c>
      <c r="T75" s="986">
        <f t="shared" si="29"/>
        <v>0.48203455284552849</v>
      </c>
      <c r="U75" s="987">
        <f t="shared" si="30"/>
        <v>0.51796544715447146</v>
      </c>
      <c r="V75" s="995">
        <f t="shared" si="31"/>
        <v>21583.729460977393</v>
      </c>
      <c r="W75" s="995">
        <f t="shared" si="25"/>
        <v>28076.937099772727</v>
      </c>
      <c r="X75" s="990">
        <f t="shared" si="32"/>
        <v>18780.274489166361</v>
      </c>
      <c r="Y75" s="990">
        <f t="shared" si="33"/>
        <v>29806.797927</v>
      </c>
      <c r="Z75" s="990">
        <f t="shared" si="26"/>
        <v>28139.777030613637</v>
      </c>
    </row>
    <row r="76" spans="1:26">
      <c r="A76">
        <v>11</v>
      </c>
      <c r="B76">
        <v>2020</v>
      </c>
      <c r="C76" t="s">
        <v>642</v>
      </c>
      <c r="D76" s="988">
        <f t="shared" si="17"/>
        <v>44136</v>
      </c>
      <c r="E76" s="984">
        <v>31874</v>
      </c>
      <c r="F76" s="984">
        <v>26901</v>
      </c>
      <c r="G76" s="984">
        <v>32615</v>
      </c>
      <c r="H76" s="984">
        <f>VLOOKUP(D76,'[8]$ to INR'!$R$3:$S$131,2,TRUE)</f>
        <v>74.067000000000007</v>
      </c>
      <c r="I76" s="990">
        <f t="shared" si="18"/>
        <v>33337.016600000003</v>
      </c>
      <c r="J76" s="990">
        <f t="shared" si="27"/>
        <v>27516.560712599996</v>
      </c>
      <c r="K76" s="990">
        <v>34113</v>
      </c>
      <c r="L76" s="984">
        <v>7.5238095238095237</v>
      </c>
      <c r="M76" s="984">
        <v>2.996</v>
      </c>
      <c r="N76" s="984">
        <v>1.79</v>
      </c>
      <c r="O76" s="984">
        <f t="shared" si="19"/>
        <v>1553.8963414634145</v>
      </c>
      <c r="P76" s="990">
        <f t="shared" si="20"/>
        <v>18414.618655908002</v>
      </c>
      <c r="Q76" s="984">
        <f t="shared" si="21"/>
        <v>8.0825171999999998</v>
      </c>
      <c r="R76" s="990">
        <f t="shared" si="24"/>
        <v>29453.471831458086</v>
      </c>
      <c r="S76" s="985">
        <f t="shared" si="28"/>
        <v>1446.1036585365855</v>
      </c>
      <c r="T76" s="986">
        <f t="shared" si="29"/>
        <v>0.48203455284552849</v>
      </c>
      <c r="U76" s="987">
        <f t="shared" si="30"/>
        <v>0.51796544715447146</v>
      </c>
      <c r="V76" s="995">
        <f t="shared" si="31"/>
        <v>23735.727310311726</v>
      </c>
      <c r="W76" s="995">
        <f t="shared" si="25"/>
        <v>27534.847966999998</v>
      </c>
      <c r="X76" s="990">
        <f t="shared" si="32"/>
        <v>19076.949846441006</v>
      </c>
      <c r="Y76" s="990">
        <f t="shared" si="33"/>
        <v>34388.890474</v>
      </c>
      <c r="Z76" s="990">
        <f t="shared" si="26"/>
        <v>27514.379082399995</v>
      </c>
    </row>
    <row r="77" spans="1:26">
      <c r="A77">
        <v>12</v>
      </c>
      <c r="B77">
        <v>2020</v>
      </c>
      <c r="C77" t="s">
        <v>643</v>
      </c>
      <c r="D77" s="988">
        <f t="shared" si="17"/>
        <v>44166</v>
      </c>
      <c r="E77" s="984">
        <v>33101</v>
      </c>
      <c r="F77" s="984">
        <v>30891</v>
      </c>
      <c r="G77" s="984">
        <v>33836</v>
      </c>
      <c r="H77" s="984">
        <f>VLOOKUP(D77,'[8]$ to INR'!$R$3:$S$131,2,TRUE)</f>
        <v>73.495499999999993</v>
      </c>
      <c r="I77" s="990">
        <f t="shared" si="18"/>
        <v>34620.335899999998</v>
      </c>
      <c r="J77" s="990">
        <f t="shared" si="27"/>
        <v>31807.539174899997</v>
      </c>
      <c r="K77" s="990">
        <v>35389</v>
      </c>
      <c r="L77" s="984">
        <v>16</v>
      </c>
      <c r="M77" s="984">
        <v>2.8959999999999999</v>
      </c>
      <c r="N77" s="984">
        <v>1.79</v>
      </c>
      <c r="O77" s="984">
        <f t="shared" si="19"/>
        <v>1553.8963414634145</v>
      </c>
      <c r="P77" s="990">
        <f t="shared" si="20"/>
        <v>18362.123566842001</v>
      </c>
      <c r="Q77" s="984">
        <f t="shared" si="21"/>
        <v>7.9504472000000002</v>
      </c>
      <c r="R77" s="990">
        <f t="shared" si="24"/>
        <v>28748.64693562992</v>
      </c>
      <c r="S77" s="985">
        <f t="shared" si="28"/>
        <v>1446.1036585365855</v>
      </c>
      <c r="T77" s="986">
        <f t="shared" si="29"/>
        <v>0.48203455284552849</v>
      </c>
      <c r="U77" s="987">
        <f t="shared" si="30"/>
        <v>0.51796544715447146</v>
      </c>
      <c r="V77" s="995">
        <f t="shared" si="31"/>
        <v>23368.786714535316</v>
      </c>
      <c r="W77" s="995">
        <f t="shared" si="25"/>
        <v>31698.791830499998</v>
      </c>
      <c r="X77" s="990">
        <f t="shared" si="32"/>
        <v>18985.314968969273</v>
      </c>
      <c r="Y77" s="990">
        <f t="shared" si="33"/>
        <v>35712.702000999998</v>
      </c>
      <c r="Z77" s="990">
        <f t="shared" si="26"/>
        <v>31828.445922599996</v>
      </c>
    </row>
    <row r="78" spans="1:26">
      <c r="A78">
        <v>1</v>
      </c>
      <c r="B78">
        <v>2021</v>
      </c>
      <c r="C78" t="s">
        <v>632</v>
      </c>
      <c r="D78" s="988">
        <f t="shared" si="17"/>
        <v>44197</v>
      </c>
      <c r="E78" s="984">
        <v>40192</v>
      </c>
      <c r="F78" s="984">
        <v>36061</v>
      </c>
      <c r="G78" s="984">
        <v>38731</v>
      </c>
      <c r="H78" s="984">
        <f>VLOOKUP(D78,'[8]$ to INR'!$R$3:$S$131,2,TRUE)</f>
        <v>73.023400000000009</v>
      </c>
      <c r="I78" s="990">
        <f t="shared" si="18"/>
        <v>42036.8128</v>
      </c>
      <c r="J78" s="990">
        <f t="shared" si="27"/>
        <v>37171.308706894997</v>
      </c>
      <c r="K78" s="990">
        <v>40508</v>
      </c>
      <c r="L78" s="984">
        <v>21.087499999999999</v>
      </c>
      <c r="M78" s="984">
        <v>2.4670000000000001</v>
      </c>
      <c r="N78" s="984">
        <v>1.79</v>
      </c>
      <c r="O78" s="984">
        <f t="shared" si="19"/>
        <v>1553.8963414634145</v>
      </c>
      <c r="P78" s="990">
        <f t="shared" si="20"/>
        <v>18318.758857221601</v>
      </c>
      <c r="Q78" s="984">
        <f t="shared" si="21"/>
        <v>7.3838669000000001</v>
      </c>
      <c r="R78" s="990">
        <f t="shared" si="24"/>
        <v>26528.397256324639</v>
      </c>
      <c r="S78" s="985">
        <f t="shared" si="28"/>
        <v>1446.1036585365855</v>
      </c>
      <c r="T78" s="986">
        <f t="shared" si="29"/>
        <v>0.48203455284552849</v>
      </c>
      <c r="U78" s="987">
        <f t="shared" si="30"/>
        <v>0.51796544715447146</v>
      </c>
      <c r="V78" s="995">
        <f t="shared" si="31"/>
        <v>22276.08823195671</v>
      </c>
      <c r="W78" s="995">
        <f t="shared" si="25"/>
        <v>36994.520061324998</v>
      </c>
      <c r="X78" s="990">
        <f t="shared" si="32"/>
        <v>18811.337161167783</v>
      </c>
      <c r="Y78" s="990">
        <f t="shared" si="33"/>
        <v>43363.188992000003</v>
      </c>
      <c r="Z78" s="990">
        <f t="shared" si="26"/>
        <v>37204.579312754999</v>
      </c>
    </row>
    <row r="79" spans="1:26">
      <c r="A79">
        <v>2</v>
      </c>
      <c r="B79">
        <v>2021</v>
      </c>
      <c r="C79" t="s">
        <v>633</v>
      </c>
      <c r="D79" s="988">
        <f t="shared" si="17"/>
        <v>44228</v>
      </c>
      <c r="E79" s="984">
        <v>44156</v>
      </c>
      <c r="F79" s="984">
        <v>39752</v>
      </c>
      <c r="G79" s="984">
        <v>42696</v>
      </c>
      <c r="H79" s="984">
        <f>VLOOKUP(D79,'[8]$ to INR'!$R$3:$S$131,2,TRUE)</f>
        <v>73.057500000000005</v>
      </c>
      <c r="I79" s="990">
        <f t="shared" si="18"/>
        <v>46182.760399999999</v>
      </c>
      <c r="J79" s="990">
        <f t="shared" si="27"/>
        <v>40943.605200473685</v>
      </c>
      <c r="K79" s="990">
        <v>44656</v>
      </c>
      <c r="L79" s="984">
        <v>22.868421052631579</v>
      </c>
      <c r="M79" s="984">
        <v>2.76</v>
      </c>
      <c r="N79" s="984">
        <v>1.79</v>
      </c>
      <c r="O79" s="984">
        <f t="shared" si="19"/>
        <v>1553.8963414634145</v>
      </c>
      <c r="P79" s="990">
        <f t="shared" si="20"/>
        <v>18321.89111013</v>
      </c>
      <c r="Q79" s="984">
        <f t="shared" si="21"/>
        <v>7.7708320000000004</v>
      </c>
      <c r="R79" s="990">
        <f t="shared" si="24"/>
        <v>27931.703894928003</v>
      </c>
      <c r="S79" s="985">
        <f t="shared" si="28"/>
        <v>1446.1036585365855</v>
      </c>
      <c r="T79" s="986">
        <f t="shared" si="29"/>
        <v>0.48203455284552849</v>
      </c>
      <c r="U79" s="987">
        <f t="shared" si="30"/>
        <v>0.51796544715447146</v>
      </c>
      <c r="V79" s="995">
        <f t="shared" si="31"/>
        <v>22954.152918779349</v>
      </c>
      <c r="W79" s="995">
        <f t="shared" si="25"/>
        <v>40747.001346842109</v>
      </c>
      <c r="X79" s="990">
        <f t="shared" si="32"/>
        <v>18898.47987721788</v>
      </c>
      <c r="Y79" s="990">
        <f t="shared" si="33"/>
        <v>47639.952556000004</v>
      </c>
      <c r="Z79" s="990">
        <f t="shared" si="26"/>
        <v>40980.479097815791</v>
      </c>
    </row>
    <row r="80" spans="1:26">
      <c r="A80">
        <v>3</v>
      </c>
      <c r="B80">
        <v>2021</v>
      </c>
      <c r="C80" t="s">
        <v>634</v>
      </c>
      <c r="D80" s="988">
        <f t="shared" si="17"/>
        <v>44256</v>
      </c>
      <c r="E80" s="984">
        <v>45502</v>
      </c>
      <c r="F80" s="984">
        <v>41189</v>
      </c>
      <c r="G80" s="984">
        <v>43318</v>
      </c>
      <c r="H80" s="984">
        <f>VLOOKUP(D80,'[8]$ to INR'!$R$3:$S$131,2,TRUE)</f>
        <v>72.765250000000009</v>
      </c>
      <c r="I80" s="990">
        <f t="shared" si="18"/>
        <v>47590.541799999999</v>
      </c>
      <c r="J80" s="990">
        <f t="shared" si="27"/>
        <v>42674.536423406527</v>
      </c>
      <c r="K80" s="990">
        <v>45306</v>
      </c>
      <c r="L80" s="984">
        <v>31.695652173913043</v>
      </c>
      <c r="M80" s="984">
        <v>2.8540000000000001</v>
      </c>
      <c r="N80" s="984">
        <v>1.79</v>
      </c>
      <c r="O80" s="984">
        <f t="shared" si="19"/>
        <v>1553.8963414634145</v>
      </c>
      <c r="P80" s="990">
        <f t="shared" si="20"/>
        <v>18295.046508591</v>
      </c>
      <c r="Q80" s="984">
        <f t="shared" si="21"/>
        <v>7.8949778000000004</v>
      </c>
      <c r="R80" s="990">
        <f t="shared" si="24"/>
        <v>28264.417641383345</v>
      </c>
      <c r="S80" s="985">
        <f t="shared" si="28"/>
        <v>1446.1036585365855</v>
      </c>
      <c r="T80" s="986">
        <f t="shared" si="29"/>
        <v>0.48203455284552849</v>
      </c>
      <c r="U80" s="987">
        <f t="shared" si="30"/>
        <v>0.51796544715447146</v>
      </c>
      <c r="V80" s="995">
        <f t="shared" si="31"/>
        <v>23100.627864737675</v>
      </c>
      <c r="W80" s="995">
        <f t="shared" si="25"/>
        <v>42341.271955250006</v>
      </c>
      <c r="X80" s="990">
        <f t="shared" si="32"/>
        <v>18893.208776558538</v>
      </c>
      <c r="Y80" s="990">
        <f t="shared" si="33"/>
        <v>49092.153302000006</v>
      </c>
      <c r="Z80" s="990">
        <f t="shared" si="26"/>
        <v>42736.253193930432</v>
      </c>
    </row>
    <row r="81" spans="1:26">
      <c r="A81">
        <v>4</v>
      </c>
      <c r="B81">
        <v>2021</v>
      </c>
      <c r="C81" t="s">
        <v>635</v>
      </c>
      <c r="D81" s="988">
        <f t="shared" si="17"/>
        <v>44287</v>
      </c>
      <c r="E81" s="984">
        <v>41719</v>
      </c>
      <c r="F81" s="984">
        <v>40361</v>
      </c>
      <c r="G81" s="984">
        <v>39484</v>
      </c>
      <c r="H81" s="984">
        <f>VLOOKUP(D81,'[8]$ to INR'!$R$3:$S$131,2,TRUE)</f>
        <v>74.555500000000009</v>
      </c>
      <c r="I81" s="990">
        <f t="shared" si="18"/>
        <v>43633.902099999999</v>
      </c>
      <c r="J81" s="990">
        <f t="shared" si="27"/>
        <v>41741.964775935718</v>
      </c>
      <c r="K81" s="990">
        <v>41297</v>
      </c>
      <c r="L81" s="984">
        <v>27.821428571428573</v>
      </c>
      <c r="M81" s="984">
        <v>2.5859999999999999</v>
      </c>
      <c r="N81" s="984">
        <v>1.79</v>
      </c>
      <c r="O81" s="984">
        <f t="shared" si="19"/>
        <v>1553.8963414634145</v>
      </c>
      <c r="P81" s="990">
        <f t="shared" si="20"/>
        <v>18459.489786282</v>
      </c>
      <c r="Q81" s="984">
        <f t="shared" si="21"/>
        <v>7.5410301999999998</v>
      </c>
      <c r="R81" s="990">
        <f t="shared" si="24"/>
        <v>27661.483632144122</v>
      </c>
      <c r="S81" s="985">
        <f t="shared" si="28"/>
        <v>1446.1036585365855</v>
      </c>
      <c r="T81" s="986">
        <f t="shared" si="29"/>
        <v>0.48203455284552849</v>
      </c>
      <c r="U81" s="987">
        <f t="shared" si="30"/>
        <v>0.51796544715447146</v>
      </c>
      <c r="V81" s="995">
        <f t="shared" si="31"/>
        <v>22895.16877505945</v>
      </c>
      <c r="W81" s="995">
        <f t="shared" si="25"/>
        <v>41459.590669607147</v>
      </c>
      <c r="X81" s="990">
        <f t="shared" si="32"/>
        <v>19011.609417033724</v>
      </c>
      <c r="Y81" s="990">
        <f t="shared" si="33"/>
        <v>45010.670818999999</v>
      </c>
      <c r="Z81" s="990">
        <f t="shared" si="26"/>
        <v>41794.456388349994</v>
      </c>
    </row>
    <row r="82" spans="1:26">
      <c r="A82">
        <v>5</v>
      </c>
      <c r="B82">
        <v>2021</v>
      </c>
      <c r="C82" t="s">
        <v>636</v>
      </c>
      <c r="D82" s="988">
        <f t="shared" si="17"/>
        <v>44317</v>
      </c>
      <c r="E82" s="984">
        <v>36108</v>
      </c>
      <c r="F82" s="984">
        <v>42249</v>
      </c>
      <c r="G82" s="984">
        <v>34649</v>
      </c>
      <c r="H82" s="984">
        <f>VLOOKUP(D82,'[8]$ to INR'!$R$3:$S$131,2,TRUE)</f>
        <v>72.9238</v>
      </c>
      <c r="I82" s="990">
        <f t="shared" si="18"/>
        <v>37765.357199999999</v>
      </c>
      <c r="J82" s="990">
        <f t="shared" si="27"/>
        <v>43532.556454797894</v>
      </c>
      <c r="K82" s="990">
        <v>36240</v>
      </c>
      <c r="L82" s="984">
        <v>25.263157894736842</v>
      </c>
      <c r="M82" s="984">
        <v>2.9249999999999998</v>
      </c>
      <c r="N82" s="984">
        <v>1.79</v>
      </c>
      <c r="O82" s="984">
        <f t="shared" si="19"/>
        <v>1553.8963414634145</v>
      </c>
      <c r="P82" s="990">
        <f t="shared" si="20"/>
        <v>18309.610106791202</v>
      </c>
      <c r="Q82" s="984">
        <f t="shared" si="21"/>
        <v>7.9887474999999997</v>
      </c>
      <c r="R82" s="990">
        <f t="shared" si="24"/>
        <v>28662.435387072601</v>
      </c>
      <c r="S82" s="985">
        <f t="shared" si="28"/>
        <v>1446.1036585365855</v>
      </c>
      <c r="T82" s="986">
        <f t="shared" si="29"/>
        <v>0.48203455284552849</v>
      </c>
      <c r="U82" s="987">
        <f t="shared" si="30"/>
        <v>0.51796544715447146</v>
      </c>
      <c r="V82" s="995">
        <f t="shared" si="31"/>
        <v>23300.029611459526</v>
      </c>
      <c r="W82" s="995">
        <f t="shared" si="25"/>
        <v>43304.111862747362</v>
      </c>
      <c r="X82" s="990">
        <f t="shared" si="32"/>
        <v>18930.779623608083</v>
      </c>
      <c r="Y82" s="990">
        <f t="shared" si="33"/>
        <v>38956.957307999997</v>
      </c>
      <c r="Z82" s="990">
        <f t="shared" si="26"/>
        <v>43575.217513465264</v>
      </c>
    </row>
    <row r="83" spans="1:26">
      <c r="A83">
        <v>6</v>
      </c>
      <c r="B83">
        <v>2021</v>
      </c>
      <c r="C83" t="s">
        <v>637</v>
      </c>
      <c r="D83" s="988">
        <f t="shared" ref="D83:D97" si="34">DATE(B83,A83,1)</f>
        <v>44348</v>
      </c>
      <c r="E83" s="984">
        <v>39093</v>
      </c>
      <c r="F83" s="984">
        <v>45923</v>
      </c>
      <c r="G83" s="984">
        <v>38724</v>
      </c>
      <c r="H83" s="984">
        <f>VLOOKUP(D83,'[8]$ to INR'!$R$3:$S$131,2,TRUE)</f>
        <v>74.015499999999989</v>
      </c>
      <c r="I83" s="990">
        <f t="shared" ref="I83:I97" si="35">1.0459*E83</f>
        <v>40887.368699999999</v>
      </c>
      <c r="J83" s="990">
        <f t="shared" si="27"/>
        <v>47167.658590843181</v>
      </c>
      <c r="K83" s="990">
        <v>40502</v>
      </c>
      <c r="L83" s="984">
        <v>22.96590909090909</v>
      </c>
      <c r="M83" s="984">
        <v>2.984</v>
      </c>
      <c r="N83" s="984">
        <v>1.79</v>
      </c>
      <c r="O83" s="984">
        <f t="shared" ref="O83:O97" si="36">1.95*39206/49.2</f>
        <v>1553.8963414634145</v>
      </c>
      <c r="P83" s="990">
        <f t="shared" ref="P83:P97" si="37">(1.043*N83*H83+236)*49.2</f>
        <v>18409.888127321999</v>
      </c>
      <c r="Q83" s="984">
        <f t="shared" ref="Q83:Q97" si="38">1.3207*M83 + 4.1257</f>
        <v>8.0666688000000004</v>
      </c>
      <c r="R83" s="990">
        <f t="shared" si="24"/>
        <v>29375.27940866688</v>
      </c>
      <c r="S83" s="985">
        <f t="shared" si="28"/>
        <v>1446.1036585365855</v>
      </c>
      <c r="T83" s="986">
        <f t="shared" si="29"/>
        <v>0.48203455284552849</v>
      </c>
      <c r="U83" s="987">
        <f t="shared" si="30"/>
        <v>0.51796544715447146</v>
      </c>
      <c r="V83" s="995">
        <f t="shared" si="31"/>
        <v>23695.585610401336</v>
      </c>
      <c r="W83" s="995">
        <f t="shared" si="25"/>
        <v>46980.56159669318</v>
      </c>
      <c r="X83" s="990">
        <f t="shared" si="32"/>
        <v>19067.811604202692</v>
      </c>
      <c r="Y83" s="990">
        <f t="shared" si="33"/>
        <v>42177.476793000002</v>
      </c>
      <c r="Z83" s="990">
        <f t="shared" si="26"/>
        <v>47202.818756315908</v>
      </c>
    </row>
    <row r="84" spans="1:26">
      <c r="A84">
        <v>7</v>
      </c>
      <c r="B84">
        <v>2021</v>
      </c>
      <c r="C84" t="s">
        <v>638</v>
      </c>
      <c r="D84" s="988">
        <f t="shared" si="34"/>
        <v>44378</v>
      </c>
      <c r="E84" s="984">
        <v>46171</v>
      </c>
      <c r="F84" s="984">
        <v>49402</v>
      </c>
      <c r="G84" s="984">
        <v>46171</v>
      </c>
      <c r="H84" s="984">
        <f>VLOOKUP(D84,'[8]$ to INR'!$R$3:$S$131,2,TRUE)</f>
        <v>74.463250000000002</v>
      </c>
      <c r="I84" s="990">
        <f t="shared" si="35"/>
        <v>48290.248900000006</v>
      </c>
      <c r="J84" s="990">
        <f t="shared" si="27"/>
        <v>50670.309577903565</v>
      </c>
      <c r="K84" s="990">
        <v>48290</v>
      </c>
      <c r="L84" s="984">
        <v>22.86904761904762</v>
      </c>
      <c r="M84" s="984">
        <v>3.617</v>
      </c>
      <c r="N84" s="984">
        <v>1.79</v>
      </c>
      <c r="O84" s="984">
        <f t="shared" si="36"/>
        <v>1553.8963414634145</v>
      </c>
      <c r="P84" s="990">
        <f t="shared" si="37"/>
        <v>18451.016169543</v>
      </c>
      <c r="Q84" s="984">
        <f t="shared" si="38"/>
        <v>8.9026718999999996</v>
      </c>
      <c r="R84" s="990">
        <f t="shared" si="24"/>
        <v>32615.756661197611</v>
      </c>
      <c r="S84" s="985">
        <f t="shared" si="28"/>
        <v>1446.1036585365855</v>
      </c>
      <c r="T84" s="986">
        <f t="shared" si="29"/>
        <v>0.48203455284552849</v>
      </c>
      <c r="U84" s="987">
        <f t="shared" si="30"/>
        <v>0.51796544715447146</v>
      </c>
      <c r="V84" s="995">
        <f t="shared" si="31"/>
        <v>25278.910518610683</v>
      </c>
      <c r="W84" s="995">
        <f t="shared" si="25"/>
        <v>50491.414421077381</v>
      </c>
      <c r="X84" s="990">
        <f t="shared" si="32"/>
        <v>19300.900599042274</v>
      </c>
      <c r="Y84" s="990">
        <f t="shared" si="33"/>
        <v>49813.938071000004</v>
      </c>
      <c r="Z84" s="990">
        <f t="shared" si="26"/>
        <v>50703.985411858332</v>
      </c>
    </row>
    <row r="85" spans="1:26">
      <c r="A85">
        <v>8</v>
      </c>
      <c r="B85">
        <v>2021</v>
      </c>
      <c r="C85" t="s">
        <v>639</v>
      </c>
      <c r="D85" s="988">
        <f t="shared" si="34"/>
        <v>44409</v>
      </c>
      <c r="E85" s="984">
        <v>48815</v>
      </c>
      <c r="F85" s="984">
        <v>46084</v>
      </c>
      <c r="G85" s="984">
        <v>48445</v>
      </c>
      <c r="H85" s="984">
        <f>VLOOKUP(D85,'[8]$ to INR'!$R$3:$S$131,2,TRUE)</f>
        <v>73.855599999999981</v>
      </c>
      <c r="I85" s="990">
        <f t="shared" si="35"/>
        <v>51055.608500000002</v>
      </c>
      <c r="J85" s="990">
        <f t="shared" si="27"/>
        <v>47209.980465679997</v>
      </c>
      <c r="K85" s="990">
        <v>50669</v>
      </c>
      <c r="L85" s="984">
        <v>19.428571428571427</v>
      </c>
      <c r="M85" s="984">
        <v>4.0439999999999996</v>
      </c>
      <c r="N85" s="984">
        <v>1.79</v>
      </c>
      <c r="O85" s="984">
        <f t="shared" si="36"/>
        <v>1553.8963414634145</v>
      </c>
      <c r="P85" s="990">
        <f t="shared" si="37"/>
        <v>18395.2005249744</v>
      </c>
      <c r="Q85" s="984">
        <f t="shared" si="38"/>
        <v>9.4666107999999998</v>
      </c>
      <c r="R85" s="990">
        <f t="shared" si="24"/>
        <v>34398.78125354361</v>
      </c>
      <c r="S85" s="985">
        <f t="shared" si="28"/>
        <v>1446.1036585365855</v>
      </c>
      <c r="T85" s="986">
        <f t="shared" si="29"/>
        <v>0.48203455284552849</v>
      </c>
      <c r="U85" s="987">
        <f t="shared" si="30"/>
        <v>0.51796544715447146</v>
      </c>
      <c r="V85" s="995">
        <f t="shared" si="31"/>
        <v>26109.479405397575</v>
      </c>
      <c r="W85" s="995">
        <f t="shared" si="25"/>
        <v>47081.39285959999</v>
      </c>
      <c r="X85" s="990">
        <f t="shared" si="32"/>
        <v>19355.415368688551</v>
      </c>
      <c r="Y85" s="990">
        <f t="shared" si="33"/>
        <v>52666.552315000008</v>
      </c>
      <c r="Z85" s="990">
        <f t="shared" si="26"/>
        <v>47234.500092319999</v>
      </c>
    </row>
    <row r="86" spans="1:26">
      <c r="A86">
        <v>9</v>
      </c>
      <c r="B86">
        <v>2021</v>
      </c>
      <c r="C86" t="s">
        <v>640</v>
      </c>
      <c r="D86" s="988">
        <f t="shared" si="34"/>
        <v>44440</v>
      </c>
      <c r="E86" s="984">
        <v>48978</v>
      </c>
      <c r="F86" s="984">
        <v>48752</v>
      </c>
      <c r="G86" s="984">
        <v>48978</v>
      </c>
      <c r="H86" s="984">
        <f>VLOOKUP(D86,'[8]$ to INR'!$R$3:$S$131,2,TRUE)</f>
        <v>73.77525</v>
      </c>
      <c r="I86" s="990">
        <f t="shared" si="35"/>
        <v>51226.090200000006</v>
      </c>
      <c r="J86" s="990">
        <f t="shared" si="27"/>
        <v>49831.814639307951</v>
      </c>
      <c r="K86" s="990">
        <v>51226</v>
      </c>
      <c r="L86" s="984">
        <v>17.579545454545453</v>
      </c>
      <c r="M86" s="984">
        <v>4.37</v>
      </c>
      <c r="N86" s="984">
        <v>1.79</v>
      </c>
      <c r="O86" s="984">
        <f t="shared" si="36"/>
        <v>1553.8963414634145</v>
      </c>
      <c r="P86" s="990">
        <f t="shared" si="37"/>
        <v>18387.819981831002</v>
      </c>
      <c r="Q86" s="984">
        <f t="shared" si="38"/>
        <v>9.8971590000000003</v>
      </c>
      <c r="R86" s="990">
        <f t="shared" si="24"/>
        <v>35924.1366721257</v>
      </c>
      <c r="S86" s="985">
        <f t="shared" si="28"/>
        <v>1446.1036585365855</v>
      </c>
      <c r="T86" s="986">
        <f t="shared" si="29"/>
        <v>0.48203455284552849</v>
      </c>
      <c r="U86" s="987">
        <f t="shared" si="30"/>
        <v>0.51796544715447146</v>
      </c>
      <c r="V86" s="995">
        <f t="shared" si="31"/>
        <v>26840.930556194784</v>
      </c>
      <c r="W86" s="995">
        <f t="shared" si="25"/>
        <v>49739.955535732952</v>
      </c>
      <c r="X86" s="990">
        <f t="shared" si="32"/>
        <v>19439.998983248683</v>
      </c>
      <c r="Y86" s="990">
        <f t="shared" si="33"/>
        <v>52842.413178000003</v>
      </c>
      <c r="Z86" s="990">
        <f t="shared" si="26"/>
        <v>49849.655116089765</v>
      </c>
    </row>
    <row r="87" spans="1:26" hidden="1">
      <c r="A87">
        <v>10</v>
      </c>
      <c r="B87">
        <v>2021</v>
      </c>
      <c r="C87" t="s">
        <v>641</v>
      </c>
      <c r="D87" s="988">
        <f t="shared" si="34"/>
        <v>44470</v>
      </c>
      <c r="E87" s="984">
        <v>60110</v>
      </c>
      <c r="F87" s="984">
        <v>55805</v>
      </c>
      <c r="G87" s="984">
        <v>59734</v>
      </c>
      <c r="H87" s="984">
        <f>VLOOKUP(D87,'[8]$ to INR'!$R$3:$S$131,2,TRUE)</f>
        <v>75.146000000000001</v>
      </c>
      <c r="I87" s="990">
        <f t="shared" si="35"/>
        <v>62869.049000000006</v>
      </c>
      <c r="J87" s="990">
        <f t="shared" si="27"/>
        <v>57007.412226657143</v>
      </c>
      <c r="K87" s="990">
        <v>62476</v>
      </c>
      <c r="L87" s="984">
        <v>19.511904761904763</v>
      </c>
      <c r="M87" s="984">
        <v>5.8410000000000002</v>
      </c>
      <c r="N87" s="984">
        <v>2.9</v>
      </c>
      <c r="O87" s="984">
        <f t="shared" si="36"/>
        <v>1553.8963414634145</v>
      </c>
      <c r="P87" s="990">
        <f t="shared" si="37"/>
        <v>22794.07002504</v>
      </c>
      <c r="Q87" s="984">
        <f t="shared" si="38"/>
        <v>11.839908700000001</v>
      </c>
      <c r="R87" s="990">
        <f t="shared" si="24"/>
        <v>43774.311535173845</v>
      </c>
      <c r="S87" s="985">
        <f t="shared" si="28"/>
        <v>1446.1036585365855</v>
      </c>
      <c r="T87" s="986">
        <f t="shared" si="29"/>
        <v>0.48203455284552849</v>
      </c>
      <c r="U87" s="987">
        <f t="shared" si="30"/>
        <v>0.51796544715447146</v>
      </c>
      <c r="V87" s="990">
        <f t="shared" si="31"/>
        <v>32907.271359968559</v>
      </c>
      <c r="W87" s="990">
        <f t="shared" si="25"/>
        <v>56896.776562904764</v>
      </c>
      <c r="X87" s="990">
        <f t="shared" si="32"/>
        <v>24052.884515648031</v>
      </c>
      <c r="Y87" s="990">
        <f t="shared" si="33"/>
        <v>64852.73911000001</v>
      </c>
      <c r="Z87" s="990">
        <f t="shared" si="26"/>
        <v>57028.687782866662</v>
      </c>
    </row>
    <row r="88" spans="1:26" hidden="1">
      <c r="A88">
        <v>11</v>
      </c>
      <c r="B88">
        <v>2021</v>
      </c>
      <c r="C88" t="s">
        <v>642</v>
      </c>
      <c r="D88" s="988">
        <f t="shared" si="34"/>
        <v>44501</v>
      </c>
      <c r="E88" s="984">
        <v>65522</v>
      </c>
      <c r="F88" s="984">
        <v>55132</v>
      </c>
      <c r="G88" s="984">
        <v>62510</v>
      </c>
      <c r="H88" s="984">
        <f>VLOOKUP(D88,'[8]$ to INR'!$R$3:$S$131,2,TRUE)</f>
        <v>75.146000000000001</v>
      </c>
      <c r="I88" s="990">
        <f t="shared" si="35"/>
        <v>68529.459799999997</v>
      </c>
      <c r="J88" s="990">
        <f t="shared" si="27"/>
        <v>56943.048855228568</v>
      </c>
      <c r="K88" s="990">
        <v>65379</v>
      </c>
      <c r="L88" s="984">
        <v>37.63095238095238</v>
      </c>
      <c r="M88" s="984">
        <v>6.202</v>
      </c>
      <c r="N88" s="984">
        <v>2.9</v>
      </c>
      <c r="O88" s="984">
        <f t="shared" si="36"/>
        <v>1553.8963414634145</v>
      </c>
      <c r="P88" s="990">
        <f t="shared" si="37"/>
        <v>22794.07002504</v>
      </c>
      <c r="Q88" s="984">
        <f t="shared" si="38"/>
        <v>12.3166814</v>
      </c>
      <c r="R88" s="990">
        <f t="shared" si="24"/>
        <v>45537.027551832485</v>
      </c>
      <c r="S88" s="985">
        <f t="shared" si="28"/>
        <v>1446.1036585365855</v>
      </c>
      <c r="T88" s="986">
        <f t="shared" si="29"/>
        <v>0.48203455284552849</v>
      </c>
      <c r="U88" s="987">
        <f t="shared" si="30"/>
        <v>0.51796544715447146</v>
      </c>
      <c r="V88" s="990">
        <f t="shared" si="31"/>
        <v>33756.961386852265</v>
      </c>
      <c r="W88" s="990">
        <f t="shared" si="25"/>
        <v>56531.238261952378</v>
      </c>
      <c r="X88" s="990">
        <f t="shared" si="32"/>
        <v>24158.647476647548</v>
      </c>
      <c r="Y88" s="990">
        <f t="shared" si="33"/>
        <v>70691.751321999996</v>
      </c>
      <c r="Z88" s="990">
        <f t="shared" si="26"/>
        <v>57019.083489533332</v>
      </c>
    </row>
    <row r="89" spans="1:26" hidden="1">
      <c r="A89">
        <v>12</v>
      </c>
      <c r="B89">
        <v>2021</v>
      </c>
      <c r="C89" t="s">
        <v>643</v>
      </c>
      <c r="D89" s="988">
        <f t="shared" si="34"/>
        <v>44531</v>
      </c>
      <c r="E89" s="984">
        <v>59874</v>
      </c>
      <c r="F89" s="984">
        <v>50548</v>
      </c>
      <c r="G89" s="984">
        <v>56485</v>
      </c>
      <c r="H89" s="984">
        <f>VLOOKUP(D89,'[8]$ to INR'!$R$3:$S$131,2,TRUE)</f>
        <v>75.146000000000001</v>
      </c>
      <c r="I89" s="990">
        <f t="shared" si="35"/>
        <v>62622.2166</v>
      </c>
      <c r="J89" s="990">
        <f t="shared" si="27"/>
        <v>52490.970407663641</v>
      </c>
      <c r="K89" s="990">
        <v>59077</v>
      </c>
      <c r="L89" s="984">
        <v>42.352272727272727</v>
      </c>
      <c r="M89" s="984">
        <v>5.4470000000000001</v>
      </c>
      <c r="N89" s="984">
        <v>2.9</v>
      </c>
      <c r="O89" s="984">
        <f t="shared" si="36"/>
        <v>1553.8963414634145</v>
      </c>
      <c r="P89" s="990">
        <f t="shared" si="37"/>
        <v>22794.07002504</v>
      </c>
      <c r="Q89" s="984">
        <f t="shared" si="38"/>
        <v>11.319552900000001</v>
      </c>
      <c r="R89" s="990">
        <f t="shared" si="24"/>
        <v>41850.460813391292</v>
      </c>
      <c r="S89" s="985">
        <f t="shared" si="28"/>
        <v>1446.1036585365855</v>
      </c>
      <c r="T89" s="986">
        <f t="shared" si="29"/>
        <v>0.48203455284552849</v>
      </c>
      <c r="U89" s="987">
        <f t="shared" si="30"/>
        <v>0.51796544715447146</v>
      </c>
      <c r="V89" s="990">
        <f t="shared" si="31"/>
        <v>31979.908837552561</v>
      </c>
      <c r="W89" s="990">
        <f t="shared" si="25"/>
        <v>51990.013099863638</v>
      </c>
      <c r="X89" s="990">
        <f t="shared" si="32"/>
        <v>23937.453472341076</v>
      </c>
      <c r="Y89" s="990">
        <f t="shared" si="33"/>
        <v>64598.118474000003</v>
      </c>
      <c r="Z89" s="990">
        <f t="shared" si="26"/>
        <v>52583.213535518174</v>
      </c>
    </row>
    <row r="90" spans="1:26" hidden="1">
      <c r="A90">
        <v>1</v>
      </c>
      <c r="B90">
        <v>2022</v>
      </c>
      <c r="C90" t="s">
        <v>632</v>
      </c>
      <c r="D90" s="988">
        <f t="shared" si="34"/>
        <v>44562</v>
      </c>
      <c r="E90" s="984">
        <v>55732</v>
      </c>
      <c r="F90" s="984">
        <v>56007</v>
      </c>
      <c r="G90" s="984">
        <v>53472</v>
      </c>
      <c r="H90" s="984">
        <f>VLOOKUP(D90,'[8]$ to INR'!$R$3:$S$131,2,TRUE)</f>
        <v>75.146000000000001</v>
      </c>
      <c r="I90" s="990">
        <f t="shared" si="35"/>
        <v>58290.0988</v>
      </c>
      <c r="J90" s="990">
        <f t="shared" si="27"/>
        <v>57688.079805228568</v>
      </c>
      <c r="K90" s="990">
        <v>55927</v>
      </c>
      <c r="L90" s="984">
        <v>33.63095238095238</v>
      </c>
      <c r="M90" s="984">
        <v>4.024</v>
      </c>
      <c r="N90" s="984">
        <v>2.9</v>
      </c>
      <c r="O90" s="984">
        <f t="shared" si="36"/>
        <v>1553.8963414634145</v>
      </c>
      <c r="P90" s="990">
        <f t="shared" si="37"/>
        <v>22794.07002504</v>
      </c>
      <c r="Q90" s="984">
        <f t="shared" si="38"/>
        <v>9.4401967999999989</v>
      </c>
      <c r="R90" s="990">
        <f t="shared" si="24"/>
        <v>34902.137013653759</v>
      </c>
      <c r="S90" s="985">
        <f t="shared" si="28"/>
        <v>1446.1036585365855</v>
      </c>
      <c r="T90" s="986">
        <f t="shared" si="29"/>
        <v>0.48203455284552849</v>
      </c>
      <c r="U90" s="987">
        <f t="shared" si="30"/>
        <v>0.51796544715447146</v>
      </c>
      <c r="V90" s="990">
        <f t="shared" si="31"/>
        <v>28630.576681720137</v>
      </c>
      <c r="W90" s="990">
        <f t="shared" si="25"/>
        <v>57344.515191952378</v>
      </c>
      <c r="X90" s="990">
        <f t="shared" si="32"/>
        <v>23520.554044356824</v>
      </c>
      <c r="Y90" s="990">
        <f t="shared" si="33"/>
        <v>60129.310532000003</v>
      </c>
      <c r="Z90" s="990">
        <f t="shared" si="26"/>
        <v>57751.706079533331</v>
      </c>
    </row>
    <row r="91" spans="1:26" hidden="1">
      <c r="A91">
        <v>2</v>
      </c>
      <c r="B91">
        <v>2022</v>
      </c>
      <c r="C91" t="s">
        <v>633</v>
      </c>
      <c r="D91" s="988">
        <f t="shared" si="34"/>
        <v>44593</v>
      </c>
      <c r="E91" s="984">
        <v>58368</v>
      </c>
      <c r="F91" s="984">
        <v>62663</v>
      </c>
      <c r="G91" s="984">
        <v>58368</v>
      </c>
      <c r="H91" s="984">
        <f>VLOOKUP(D91,'[8]$ to INR'!$R$3:$S$131,2,TRUE)</f>
        <v>75.146000000000001</v>
      </c>
      <c r="I91" s="990">
        <f t="shared" si="35"/>
        <v>61047.091200000003</v>
      </c>
      <c r="J91" s="990">
        <f t="shared" si="27"/>
        <v>64651.385283799995</v>
      </c>
      <c r="K91" s="990">
        <v>61047</v>
      </c>
      <c r="L91" s="984">
        <v>41.527777777777779</v>
      </c>
      <c r="M91" s="984">
        <v>6.2649999999999997</v>
      </c>
      <c r="N91" s="984">
        <v>2.9</v>
      </c>
      <c r="O91" s="984">
        <f t="shared" si="36"/>
        <v>1553.8963414634145</v>
      </c>
      <c r="P91" s="990">
        <f t="shared" si="37"/>
        <v>22794.07002504</v>
      </c>
      <c r="Q91" s="984">
        <f t="shared" si="38"/>
        <v>12.3998855</v>
      </c>
      <c r="R91" s="990">
        <f t="shared" si="24"/>
        <v>45844.648352523604</v>
      </c>
      <c r="S91" s="985">
        <f t="shared" si="28"/>
        <v>1446.1036585365855</v>
      </c>
      <c r="T91" s="986">
        <f t="shared" si="29"/>
        <v>0.48203455284552849</v>
      </c>
      <c r="U91" s="987">
        <f t="shared" si="30"/>
        <v>0.51796544715447146</v>
      </c>
      <c r="V91" s="990">
        <f t="shared" si="31"/>
        <v>33905.24524195939</v>
      </c>
      <c r="W91" s="990">
        <f t="shared" si="25"/>
        <v>64193.376925444434</v>
      </c>
      <c r="X91" s="990">
        <f t="shared" si="32"/>
        <v>24177.104724689016</v>
      </c>
      <c r="Y91" s="990">
        <f t="shared" si="33"/>
        <v>62973.293568000001</v>
      </c>
      <c r="Z91" s="990">
        <f t="shared" si="26"/>
        <v>64735.819511755544</v>
      </c>
    </row>
    <row r="92" spans="1:26" hidden="1">
      <c r="A92">
        <v>3</v>
      </c>
      <c r="B92">
        <v>2022</v>
      </c>
      <c r="C92" t="s">
        <v>634</v>
      </c>
      <c r="D92" s="988">
        <f t="shared" si="34"/>
        <v>44621</v>
      </c>
      <c r="E92" s="984">
        <v>67405</v>
      </c>
      <c r="F92" s="984">
        <v>71963</v>
      </c>
      <c r="G92" s="984">
        <v>69288</v>
      </c>
      <c r="H92" s="984">
        <f>VLOOKUP(D92,'[8]$ to INR'!$R$3:$S$131,2,TRUE)</f>
        <v>75.146000000000001</v>
      </c>
      <c r="I92" s="990">
        <f t="shared" si="35"/>
        <v>70498.889500000005</v>
      </c>
      <c r="J92" s="990">
        <f t="shared" si="27"/>
        <v>74269.517757713038</v>
      </c>
      <c r="K92" s="990">
        <v>72468</v>
      </c>
      <c r="L92" s="984">
        <v>49.271739130434781</v>
      </c>
      <c r="M92" s="984">
        <v>4.5679999999999996</v>
      </c>
      <c r="N92" s="984">
        <v>2.9</v>
      </c>
      <c r="O92" s="984">
        <f t="shared" si="36"/>
        <v>1553.8963414634145</v>
      </c>
      <c r="P92" s="990">
        <f t="shared" si="37"/>
        <v>22794.07002504</v>
      </c>
      <c r="Q92" s="984">
        <f t="shared" si="38"/>
        <v>10.1586576</v>
      </c>
      <c r="R92" s="990">
        <f t="shared" si="24"/>
        <v>37558.418213272322</v>
      </c>
      <c r="S92" s="985">
        <f t="shared" si="28"/>
        <v>1446.1036585365855</v>
      </c>
      <c r="T92" s="986">
        <f t="shared" si="29"/>
        <v>0.48203455284552849</v>
      </c>
      <c r="U92" s="987">
        <f t="shared" si="30"/>
        <v>0.51796544715447146</v>
      </c>
      <c r="V92" s="990">
        <f t="shared" si="31"/>
        <v>29910.996002010259</v>
      </c>
      <c r="W92" s="990">
        <f t="shared" si="25"/>
        <v>73705.991301000002</v>
      </c>
      <c r="X92" s="990">
        <f t="shared" si="32"/>
        <v>23679.930916333939</v>
      </c>
      <c r="Y92" s="990">
        <f t="shared" si="33"/>
        <v>72723.321905000004</v>
      </c>
      <c r="Z92" s="990">
        <f t="shared" si="26"/>
        <v>74373.137094460864</v>
      </c>
    </row>
    <row r="93" spans="1:26" hidden="1">
      <c r="A93">
        <v>4</v>
      </c>
      <c r="B93">
        <v>2022</v>
      </c>
      <c r="C93" t="s">
        <v>635</v>
      </c>
      <c r="D93" s="988">
        <f t="shared" si="34"/>
        <v>44652</v>
      </c>
      <c r="E93" s="984">
        <v>70794</v>
      </c>
      <c r="F93" s="984">
        <v>64215</v>
      </c>
      <c r="G93" s="984">
        <v>72300</v>
      </c>
      <c r="H93" s="984">
        <f>VLOOKUP(D93,'[8]$ to INR'!$R$3:$S$131,2,TRUE)</f>
        <v>75.146000000000001</v>
      </c>
      <c r="I93" s="990">
        <f t="shared" si="35"/>
        <v>74043.444600000003</v>
      </c>
      <c r="J93" s="990">
        <f t="shared" si="27"/>
        <v>65683.465246299995</v>
      </c>
      <c r="K93" s="990">
        <v>75619</v>
      </c>
      <c r="L93" s="984">
        <v>25.875</v>
      </c>
      <c r="M93" s="984">
        <v>5.3360000000000003</v>
      </c>
      <c r="N93" s="984">
        <v>2.9</v>
      </c>
      <c r="O93" s="984">
        <f t="shared" si="36"/>
        <v>1553.8963414634145</v>
      </c>
      <c r="P93" s="990">
        <f t="shared" si="37"/>
        <v>22794.07002504</v>
      </c>
      <c r="Q93" s="984">
        <f t="shared" si="38"/>
        <v>11.172955200000001</v>
      </c>
      <c r="R93" s="990">
        <f t="shared" si="24"/>
        <v>41308.462259792643</v>
      </c>
      <c r="S93" s="985">
        <f t="shared" si="28"/>
        <v>1446.1036585365855</v>
      </c>
      <c r="T93" s="986">
        <f t="shared" si="29"/>
        <v>0.48203455284552849</v>
      </c>
      <c r="U93" s="987">
        <f t="shared" si="30"/>
        <v>0.51796544715447146</v>
      </c>
      <c r="V93" s="990">
        <f t="shared" si="31"/>
        <v>31718.646807125711</v>
      </c>
      <c r="W93" s="990">
        <f t="shared" si="25"/>
        <v>65487.986328499988</v>
      </c>
      <c r="X93" s="990">
        <f t="shared" si="32"/>
        <v>23904.933559125158</v>
      </c>
      <c r="Y93" s="990">
        <f t="shared" si="33"/>
        <v>76379.717394000007</v>
      </c>
      <c r="Z93" s="990">
        <f t="shared" si="26"/>
        <v>65720.166848699984</v>
      </c>
    </row>
    <row r="94" spans="1:26" hidden="1">
      <c r="A94">
        <v>5</v>
      </c>
      <c r="B94">
        <v>2022</v>
      </c>
      <c r="C94" t="s">
        <v>636</v>
      </c>
      <c r="D94" s="988">
        <f t="shared" si="34"/>
        <v>44682</v>
      </c>
      <c r="E94" s="984">
        <v>64016</v>
      </c>
      <c r="F94" s="984">
        <v>61866</v>
      </c>
      <c r="G94" s="984">
        <v>64769</v>
      </c>
      <c r="H94" s="984">
        <f>VLOOKUP(D94,'[8]$ to INR'!$R$3:$S$131,2,TRUE)</f>
        <v>75.146000000000001</v>
      </c>
      <c r="I94" s="990">
        <f t="shared" si="35"/>
        <v>66954.334400000007</v>
      </c>
      <c r="J94" s="990">
        <f t="shared" si="27"/>
        <v>63044.166403536845</v>
      </c>
      <c r="K94" s="990">
        <v>67742</v>
      </c>
      <c r="L94" s="984">
        <v>17.710526315789473</v>
      </c>
      <c r="M94" s="984">
        <v>7.2670000000000003</v>
      </c>
      <c r="N94" s="984">
        <v>6.1</v>
      </c>
      <c r="O94" s="984">
        <f t="shared" si="36"/>
        <v>1553.8963414634145</v>
      </c>
      <c r="P94" s="990">
        <f t="shared" si="37"/>
        <v>35133.788673360003</v>
      </c>
      <c r="Q94" s="984">
        <f t="shared" si="38"/>
        <v>13.7232269</v>
      </c>
      <c r="R94" s="990">
        <f t="shared" si="24"/>
        <v>50737.283944468087</v>
      </c>
      <c r="S94" s="985">
        <f t="shared" si="28"/>
        <v>1446.1036585365855</v>
      </c>
      <c r="T94" s="986">
        <f t="shared" si="29"/>
        <v>0.48203455284552849</v>
      </c>
      <c r="U94" s="987">
        <f t="shared" si="30"/>
        <v>0.51796544715447146</v>
      </c>
      <c r="V94" s="990">
        <f t="shared" si="31"/>
        <v>42655.212539195905</v>
      </c>
      <c r="W94" s="990">
        <f t="shared" si="25"/>
        <v>62977.978964421047</v>
      </c>
      <c r="X94" s="990">
        <f t="shared" si="32"/>
        <v>36069.998389626482</v>
      </c>
      <c r="Y94" s="990">
        <f t="shared" si="33"/>
        <v>69066.926416000002</v>
      </c>
      <c r="Z94" s="990">
        <f t="shared" si="26"/>
        <v>63057.360464357887</v>
      </c>
    </row>
    <row r="95" spans="1:26" hidden="1">
      <c r="A95">
        <v>6</v>
      </c>
      <c r="B95">
        <v>2022</v>
      </c>
      <c r="C95" t="s">
        <v>637</v>
      </c>
      <c r="D95" s="988">
        <f t="shared" si="34"/>
        <v>44713</v>
      </c>
      <c r="E95" s="984">
        <v>56485</v>
      </c>
      <c r="F95" s="984">
        <v>55766</v>
      </c>
      <c r="G95" s="984">
        <v>56485</v>
      </c>
      <c r="H95" s="984">
        <f>VLOOKUP(D95,'[8]$ to INR'!$R$3:$S$131,2,TRUE)</f>
        <v>75.146000000000001</v>
      </c>
      <c r="I95" s="990">
        <f t="shared" si="35"/>
        <v>59077.661500000002</v>
      </c>
      <c r="J95" s="990">
        <f t="shared" si="27"/>
        <v>56746.818850845448</v>
      </c>
      <c r="K95" s="990">
        <v>59077</v>
      </c>
      <c r="L95" s="984">
        <v>12.965909090909092</v>
      </c>
      <c r="M95" s="984">
        <v>8.9079999999999995</v>
      </c>
      <c r="N95" s="984">
        <v>6.1</v>
      </c>
      <c r="O95" s="984">
        <f t="shared" si="36"/>
        <v>1553.8963414634145</v>
      </c>
      <c r="P95" s="990">
        <f t="shared" si="37"/>
        <v>35133.788673360003</v>
      </c>
      <c r="Q95" s="984">
        <f t="shared" si="38"/>
        <v>15.890495599999999</v>
      </c>
      <c r="R95" s="990">
        <f t="shared" si="24"/>
        <v>58750.073371993924</v>
      </c>
      <c r="S95" s="985">
        <f t="shared" si="28"/>
        <v>1446.1036585365855</v>
      </c>
      <c r="T95" s="986">
        <f t="shared" si="29"/>
        <v>0.48203455284552849</v>
      </c>
      <c r="U95" s="987">
        <f t="shared" si="30"/>
        <v>0.51796544715447146</v>
      </c>
      <c r="V95" s="990">
        <f t="shared" si="31"/>
        <v>46517.6539079387</v>
      </c>
      <c r="W95" s="990">
        <f t="shared" si="25"/>
        <v>56744.307993045448</v>
      </c>
      <c r="X95" s="990">
        <f t="shared" si="32"/>
        <v>36550.765755278029</v>
      </c>
      <c r="Y95" s="990">
        <f t="shared" si="33"/>
        <v>60941.722985000008</v>
      </c>
      <c r="Z95" s="990">
        <f t="shared" si="26"/>
        <v>56748.435351427266</v>
      </c>
    </row>
    <row r="96" spans="1:26" hidden="1">
      <c r="A96">
        <v>7</v>
      </c>
      <c r="B96">
        <v>2022</v>
      </c>
      <c r="C96" t="s">
        <v>638</v>
      </c>
      <c r="D96" s="988">
        <f t="shared" si="34"/>
        <v>44743</v>
      </c>
      <c r="E96" s="984">
        <v>54602</v>
      </c>
      <c r="F96" s="984">
        <v>53476</v>
      </c>
      <c r="G96" s="984">
        <v>54602</v>
      </c>
      <c r="H96" s="984">
        <f>VLOOKUP(D96,'[8]$ to INR'!$R$3:$S$131,2,TRUE)</f>
        <v>75.146000000000001</v>
      </c>
      <c r="I96" s="990">
        <f t="shared" si="35"/>
        <v>57108.231800000001</v>
      </c>
      <c r="J96" s="990">
        <f t="shared" si="27"/>
        <v>55060.830987549998</v>
      </c>
      <c r="K96" s="990">
        <v>57108</v>
      </c>
      <c r="L96" s="984">
        <v>31.237500000000001</v>
      </c>
      <c r="M96" s="984">
        <v>6.5510000000000002</v>
      </c>
      <c r="N96" s="984">
        <v>6.1</v>
      </c>
      <c r="O96" s="984">
        <f t="shared" si="36"/>
        <v>1553.8963414634145</v>
      </c>
      <c r="P96" s="990">
        <f t="shared" si="37"/>
        <v>35133.788673360003</v>
      </c>
      <c r="Q96" s="984">
        <f t="shared" si="38"/>
        <v>12.777605700000001</v>
      </c>
      <c r="R96" s="990">
        <f t="shared" si="24"/>
        <v>47241.149130264246</v>
      </c>
      <c r="S96" s="985">
        <f t="shared" si="28"/>
        <v>1446.1036585365855</v>
      </c>
      <c r="T96" s="986">
        <f t="shared" si="29"/>
        <v>0.48203455284552849</v>
      </c>
      <c r="U96" s="987">
        <f t="shared" si="30"/>
        <v>0.51796544715447146</v>
      </c>
      <c r="V96" s="990">
        <f t="shared" si="31"/>
        <v>40969.954757343468</v>
      </c>
      <c r="W96" s="990">
        <f t="shared" si="25"/>
        <v>54750.710196250002</v>
      </c>
      <c r="X96" s="990">
        <f t="shared" si="32"/>
        <v>35860.230300774252</v>
      </c>
      <c r="Y96" s="990">
        <f t="shared" si="33"/>
        <v>58910.152402000007</v>
      </c>
      <c r="Z96" s="990">
        <f t="shared" si="26"/>
        <v>55118.376566949999</v>
      </c>
    </row>
    <row r="97" spans="1:26" hidden="1">
      <c r="A97">
        <v>8</v>
      </c>
      <c r="B97">
        <v>2022</v>
      </c>
      <c r="C97" t="s">
        <v>639</v>
      </c>
      <c r="D97" s="988">
        <f t="shared" si="34"/>
        <v>44774</v>
      </c>
      <c r="E97" s="984">
        <v>50460</v>
      </c>
      <c r="F97" s="984">
        <v>47653</v>
      </c>
      <c r="G97" s="984">
        <v>49707</v>
      </c>
      <c r="H97" s="984">
        <f>VLOOKUP(D97,'[8]$ to INR'!$R$3:$S$131,2,TRUE)</f>
        <v>75.146000000000001</v>
      </c>
      <c r="I97" s="990">
        <f t="shared" si="35"/>
        <v>52776.114000000001</v>
      </c>
      <c r="J97" s="990">
        <f t="shared" si="27"/>
        <v>48826.440601981813</v>
      </c>
      <c r="K97" s="990">
        <v>51988</v>
      </c>
      <c r="L97" s="984">
        <v>20.113636363636363</v>
      </c>
      <c r="M97" s="984">
        <v>8.6869999999999994</v>
      </c>
      <c r="N97" s="984">
        <v>6.1</v>
      </c>
      <c r="O97" s="984">
        <f t="shared" si="36"/>
        <v>1553.8963414634145</v>
      </c>
      <c r="P97" s="990">
        <f t="shared" si="37"/>
        <v>35133.788673360003</v>
      </c>
      <c r="Q97" s="984">
        <f t="shared" si="38"/>
        <v>15.598620899999998</v>
      </c>
      <c r="R97" s="990">
        <f t="shared" si="24"/>
        <v>57670.959134648874</v>
      </c>
      <c r="S97" s="985">
        <f t="shared" si="28"/>
        <v>1446.1036585365855</v>
      </c>
      <c r="T97" s="986">
        <f t="shared" si="29"/>
        <v>0.48203455284552849</v>
      </c>
      <c r="U97" s="987">
        <f t="shared" si="30"/>
        <v>0.51796544715447146</v>
      </c>
      <c r="V97" s="990">
        <f t="shared" si="31"/>
        <v>45997.483559070839</v>
      </c>
      <c r="W97" s="990">
        <f t="shared" si="25"/>
        <v>48686.129199181814</v>
      </c>
      <c r="X97" s="990">
        <f t="shared" si="32"/>
        <v>36486.018901037329</v>
      </c>
      <c r="Y97" s="990">
        <f t="shared" si="33"/>
        <v>54441.344460000008</v>
      </c>
      <c r="Z97" s="990">
        <f t="shared" si="26"/>
        <v>48853.111747109084</v>
      </c>
    </row>
  </sheetData>
  <mergeCells count="4">
    <mergeCell ref="AD3:AD5"/>
    <mergeCell ref="AD7:AD9"/>
    <mergeCell ref="AD12:AD14"/>
    <mergeCell ref="AD2:AH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6390-7395-42B4-8D93-D461588A47C3}">
  <sheetPr codeName="Sheet3"/>
  <dimension ref="A1:O43"/>
  <sheetViews>
    <sheetView showGridLines="0" topLeftCell="E1" workbookViewId="0">
      <selection activeCell="P10" sqref="P10"/>
    </sheetView>
  </sheetViews>
  <sheetFormatPr defaultRowHeight="12.75"/>
  <cols>
    <col min="1" max="1" width="24.28515625" style="1" bestFit="1" customWidth="1"/>
    <col min="2" max="2" width="20.140625" style="1" bestFit="1" customWidth="1"/>
    <col min="3" max="3" width="18.42578125" style="1" bestFit="1" customWidth="1"/>
    <col min="4" max="4" width="18.42578125" style="1" hidden="1" customWidth="1"/>
    <col min="5" max="5" width="36.85546875" style="1" customWidth="1"/>
    <col min="6" max="6" width="20.140625" style="1" bestFit="1" customWidth="1"/>
    <col min="7" max="7" width="22.140625" style="1" customWidth="1"/>
    <col min="8" max="8" width="12.140625" style="1" hidden="1" customWidth="1"/>
    <col min="9" max="9" width="24.28515625" style="1" hidden="1" customWidth="1"/>
    <col min="10" max="10" width="15.28515625" style="1" hidden="1" customWidth="1"/>
    <col min="11" max="11" width="17.7109375" style="1" hidden="1" customWidth="1"/>
    <col min="12" max="12" width="0" style="1" hidden="1" customWidth="1"/>
    <col min="13" max="13" width="24.28515625" style="1" bestFit="1" customWidth="1"/>
    <col min="14" max="14" width="22.5703125" style="1" bestFit="1" customWidth="1"/>
    <col min="15" max="15" width="17.7109375" style="1" bestFit="1" customWidth="1"/>
    <col min="16" max="16384" width="9.140625" style="1"/>
  </cols>
  <sheetData>
    <row r="1" spans="1:15">
      <c r="A1" s="62" t="s">
        <v>453</v>
      </c>
      <c r="B1" s="1018" t="s">
        <v>158</v>
      </c>
      <c r="C1" s="1019"/>
      <c r="D1" s="72"/>
      <c r="E1" s="76" t="s">
        <v>582</v>
      </c>
      <c r="F1" s="77" t="s">
        <v>161</v>
      </c>
      <c r="G1" s="78"/>
      <c r="I1" s="76"/>
      <c r="J1" s="76" t="s">
        <v>565</v>
      </c>
      <c r="K1" s="929"/>
      <c r="M1" s="76"/>
      <c r="N1" s="77" t="s">
        <v>563</v>
      </c>
      <c r="O1" s="78"/>
    </row>
    <row r="2" spans="1:15" ht="15" customHeight="1">
      <c r="A2" s="63"/>
      <c r="B2" s="59" t="s">
        <v>161</v>
      </c>
      <c r="C2" s="64" t="s">
        <v>151</v>
      </c>
      <c r="D2" s="73"/>
      <c r="E2" s="63"/>
      <c r="G2" s="66"/>
      <c r="I2" s="63"/>
      <c r="K2" s="66"/>
      <c r="M2" s="63"/>
      <c r="O2" s="66"/>
    </row>
    <row r="3" spans="1:15">
      <c r="A3" s="65" t="s">
        <v>133</v>
      </c>
      <c r="C3" s="66"/>
      <c r="E3" s="65" t="s">
        <v>133</v>
      </c>
      <c r="G3" s="66" t="s">
        <v>256</v>
      </c>
      <c r="I3" s="65" t="s">
        <v>133</v>
      </c>
      <c r="J3" s="930" t="s">
        <v>564</v>
      </c>
      <c r="K3" s="931" t="s">
        <v>151</v>
      </c>
      <c r="M3" s="65" t="s">
        <v>133</v>
      </c>
      <c r="N3" s="1" t="s">
        <v>564</v>
      </c>
      <c r="O3" s="66" t="s">
        <v>151</v>
      </c>
    </row>
    <row r="4" spans="1:15">
      <c r="A4" s="67" t="s">
        <v>148</v>
      </c>
      <c r="B4" s="58">
        <v>535</v>
      </c>
      <c r="C4" s="937">
        <f>((B4/$B$8)/$B$11)</f>
        <v>0.4870410662102741</v>
      </c>
      <c r="D4" s="991">
        <f>B4/F4</f>
        <v>0.94024604569420034</v>
      </c>
      <c r="E4" s="67" t="s">
        <v>148</v>
      </c>
      <c r="F4" s="90">
        <v>569</v>
      </c>
      <c r="G4" s="235">
        <f>F4-B4</f>
        <v>34</v>
      </c>
      <c r="I4" s="67" t="s">
        <v>148</v>
      </c>
      <c r="J4" s="930">
        <v>569</v>
      </c>
      <c r="K4" s="932">
        <v>0.42225718356684872</v>
      </c>
      <c r="M4" s="67" t="s">
        <v>148</v>
      </c>
      <c r="N4" s="90">
        <v>1080</v>
      </c>
      <c r="O4" s="974">
        <v>0.78657119051919533</v>
      </c>
    </row>
    <row r="5" spans="1:15">
      <c r="A5" s="67" t="s">
        <v>1</v>
      </c>
      <c r="B5" s="58">
        <v>1500</v>
      </c>
      <c r="C5" s="937">
        <f>((B5/$B$8)/$B$11)</f>
        <v>1.3655356996549743</v>
      </c>
      <c r="D5" s="991">
        <f>1-D4</f>
        <v>5.9753954305799661E-2</v>
      </c>
      <c r="E5" s="67" t="s">
        <v>1</v>
      </c>
      <c r="F5" s="90">
        <v>1611</v>
      </c>
      <c r="G5" s="235">
        <f>F5-B5</f>
        <v>111</v>
      </c>
      <c r="I5" s="67" t="s">
        <v>1</v>
      </c>
      <c r="J5" s="930">
        <v>1610.75</v>
      </c>
      <c r="K5" s="932">
        <v>1.1953440394205652</v>
      </c>
      <c r="M5" s="67" t="s">
        <v>1</v>
      </c>
      <c r="N5" s="90">
        <v>1071</v>
      </c>
      <c r="O5" s="974">
        <v>0.78001643059820203</v>
      </c>
    </row>
    <row r="6" spans="1:15">
      <c r="A6" s="67" t="s">
        <v>0</v>
      </c>
      <c r="B6" s="58">
        <v>271</v>
      </c>
      <c r="C6" s="937">
        <f>((B6/$B$8)/$B$11)</f>
        <v>0.24670678307099869</v>
      </c>
      <c r="D6" s="74">
        <v>600</v>
      </c>
      <c r="E6" s="67" t="s">
        <v>0</v>
      </c>
      <c r="F6" s="90">
        <f>271+426</f>
        <v>697</v>
      </c>
      <c r="G6" s="235">
        <f>F6-B6</f>
        <v>426</v>
      </c>
      <c r="I6" s="67" t="s">
        <v>0</v>
      </c>
      <c r="J6" s="930">
        <v>697</v>
      </c>
      <c r="K6" s="932">
        <v>0.51724649726905725</v>
      </c>
      <c r="M6" s="67" t="s">
        <v>0</v>
      </c>
      <c r="N6" s="90">
        <v>245</v>
      </c>
      <c r="O6" s="974">
        <v>0.16764295070661636</v>
      </c>
    </row>
    <row r="7" spans="1:15">
      <c r="A7" s="67" t="s">
        <v>149</v>
      </c>
      <c r="B7" s="58">
        <v>167</v>
      </c>
      <c r="C7" s="937">
        <f>((B7/$B$8)/$B$11)</f>
        <v>0.1520296412282538</v>
      </c>
      <c r="D7" s="74">
        <v>250</v>
      </c>
      <c r="E7" s="67" t="s">
        <v>149</v>
      </c>
      <c r="F7" s="90">
        <v>136</v>
      </c>
      <c r="G7" s="235">
        <f>F7-B7</f>
        <v>-31</v>
      </c>
      <c r="I7" s="67" t="s">
        <v>149</v>
      </c>
      <c r="J7" s="930">
        <v>136</v>
      </c>
      <c r="K7" s="932">
        <v>0.10092614580859653</v>
      </c>
      <c r="M7" s="67" t="s">
        <v>149</v>
      </c>
      <c r="N7" s="90">
        <v>136</v>
      </c>
      <c r="O7" s="974">
        <v>9.3058944065713564E-2</v>
      </c>
    </row>
    <row r="8" spans="1:15">
      <c r="A8" s="68" t="s">
        <v>150</v>
      </c>
      <c r="B8" s="61">
        <f>SUM(B4:B7)</f>
        <v>2473</v>
      </c>
      <c r="C8" s="69"/>
      <c r="D8" s="58">
        <v>650</v>
      </c>
      <c r="E8" s="68" t="s">
        <v>150</v>
      </c>
      <c r="F8" s="61">
        <f>SUM(F4:F7)</f>
        <v>3013</v>
      </c>
      <c r="G8" s="69"/>
      <c r="I8" s="68" t="s">
        <v>150</v>
      </c>
      <c r="J8" s="930">
        <f>SUM(J4:J7)</f>
        <v>3012.75</v>
      </c>
      <c r="K8" s="931">
        <f>SUM(K4:K7)</f>
        <v>2.2357738660650677</v>
      </c>
      <c r="M8" s="68" t="s">
        <v>150</v>
      </c>
      <c r="N8" s="61">
        <f>SUM(N4:N7)</f>
        <v>2532</v>
      </c>
      <c r="O8" s="69">
        <f>SUM(O4:O7)</f>
        <v>1.8272895158897271</v>
      </c>
    </row>
    <row r="9" spans="1:15">
      <c r="A9" s="63"/>
      <c r="C9" s="66"/>
      <c r="E9" s="63"/>
      <c r="G9" s="66"/>
      <c r="I9" s="63"/>
      <c r="K9" s="66"/>
      <c r="M9" s="63"/>
      <c r="O9" s="66"/>
    </row>
    <row r="10" spans="1:15" ht="20.25" customHeight="1">
      <c r="A10" s="155" t="s">
        <v>152</v>
      </c>
      <c r="B10" s="156" t="s">
        <v>153</v>
      </c>
      <c r="C10" s="157" t="s">
        <v>160</v>
      </c>
      <c r="D10" s="992">
        <f>D6/1500</f>
        <v>0.4</v>
      </c>
      <c r="E10" s="155" t="s">
        <v>152</v>
      </c>
      <c r="F10" s="156" t="s">
        <v>153</v>
      </c>
      <c r="G10" s="157" t="s">
        <v>160</v>
      </c>
      <c r="H10" s="926" t="s">
        <v>454</v>
      </c>
      <c r="I10" s="155" t="s">
        <v>152</v>
      </c>
      <c r="J10" s="156" t="s">
        <v>153</v>
      </c>
      <c r="K10" s="157" t="s">
        <v>151</v>
      </c>
      <c r="M10" s="155" t="s">
        <v>152</v>
      </c>
      <c r="N10" s="156" t="s">
        <v>153</v>
      </c>
      <c r="O10" s="157" t="s">
        <v>160</v>
      </c>
    </row>
    <row r="11" spans="1:15">
      <c r="A11" s="67" t="s">
        <v>145</v>
      </c>
      <c r="B11" s="60">
        <v>0.44418520016174701</v>
      </c>
      <c r="C11" s="33">
        <f>$B$8*B11</f>
        <v>1098.4700000000003</v>
      </c>
      <c r="D11" s="992">
        <f t="shared" ref="D11:D12" si="0">D7/1500</f>
        <v>0.16666666666666666</v>
      </c>
      <c r="E11" s="67" t="s">
        <v>145</v>
      </c>
      <c r="F11" s="60">
        <v>0.44727242552485269</v>
      </c>
      <c r="G11" s="33">
        <f>$F$8*F11</f>
        <v>1347.6318181063812</v>
      </c>
      <c r="H11" s="32">
        <f>G11-C11</f>
        <v>249.16181810638091</v>
      </c>
      <c r="I11" s="67" t="s">
        <v>145</v>
      </c>
      <c r="J11" s="933">
        <v>0.44727242552485302</v>
      </c>
      <c r="K11" s="934">
        <v>1</v>
      </c>
      <c r="M11" s="67" t="s">
        <v>145</v>
      </c>
      <c r="N11" s="60">
        <v>0.54227804107424959</v>
      </c>
      <c r="O11" s="33">
        <f>N11*$N$8</f>
        <v>1373.048</v>
      </c>
    </row>
    <row r="12" spans="1:15">
      <c r="A12" s="67" t="s">
        <v>2</v>
      </c>
      <c r="B12" s="60">
        <v>0.16173473513950665</v>
      </c>
      <c r="C12" s="33">
        <f t="shared" ref="C12:C21" si="1">$B$8*B12</f>
        <v>399.96999999999991</v>
      </c>
      <c r="D12" s="992">
        <f t="shared" si="0"/>
        <v>0.43333333333333335</v>
      </c>
      <c r="E12" s="67" t="s">
        <v>2</v>
      </c>
      <c r="F12" s="60">
        <v>0.17143299311260474</v>
      </c>
      <c r="G12" s="33">
        <f t="shared" ref="G12:G21" si="2">$F$8*F12</f>
        <v>516.52760824827806</v>
      </c>
      <c r="H12" s="32">
        <f t="shared" ref="H12:H21" si="3">G12-C12</f>
        <v>116.55760824827814</v>
      </c>
      <c r="I12" s="67" t="s">
        <v>2</v>
      </c>
      <c r="J12" s="933">
        <v>0.17143299311260474</v>
      </c>
      <c r="K12" s="934">
        <v>0.38328540578247444</v>
      </c>
      <c r="M12" s="67" t="s">
        <v>2</v>
      </c>
      <c r="N12" s="60">
        <v>0.13512796208530806</v>
      </c>
      <c r="O12" s="33">
        <f t="shared" ref="O12:O20" si="4">N12*$N$8</f>
        <v>342.14400000000001</v>
      </c>
    </row>
    <row r="13" spans="1:15">
      <c r="A13" s="67" t="s">
        <v>8</v>
      </c>
      <c r="B13" s="60">
        <v>2.3996360695511525E-2</v>
      </c>
      <c r="C13" s="33">
        <f t="shared" si="1"/>
        <v>59.343000000000004</v>
      </c>
      <c r="D13" s="75"/>
      <c r="E13" s="67" t="s">
        <v>8</v>
      </c>
      <c r="F13" s="60">
        <v>2.2352070367604348E-2</v>
      </c>
      <c r="G13" s="33">
        <f t="shared" si="2"/>
        <v>67.346788017591905</v>
      </c>
      <c r="H13" s="32">
        <f t="shared" si="3"/>
        <v>8.0037880175919014</v>
      </c>
      <c r="I13" s="67" t="s">
        <v>8</v>
      </c>
      <c r="J13" s="933">
        <v>2.2352070367604348E-2</v>
      </c>
      <c r="K13" s="934">
        <v>4.9974174780337215E-2</v>
      </c>
      <c r="M13" s="67" t="s">
        <v>8</v>
      </c>
      <c r="N13" s="60">
        <v>1.792298578199052E-2</v>
      </c>
      <c r="O13" s="33">
        <f t="shared" si="4"/>
        <v>45.380999999999993</v>
      </c>
    </row>
    <row r="14" spans="1:15">
      <c r="A14" s="67" t="s">
        <v>3</v>
      </c>
      <c r="B14" s="60">
        <v>5.2989001213101482E-2</v>
      </c>
      <c r="C14" s="33">
        <f t="shared" si="1"/>
        <v>131.04179999999997</v>
      </c>
      <c r="D14" s="469"/>
      <c r="E14" s="67" t="s">
        <v>3</v>
      </c>
      <c r="F14" s="60">
        <v>4.7020184217077404E-2</v>
      </c>
      <c r="G14" s="33">
        <f t="shared" si="2"/>
        <v>141.67181504605421</v>
      </c>
      <c r="H14" s="32">
        <f t="shared" si="3"/>
        <v>10.63001504605424</v>
      </c>
      <c r="I14" s="67" t="s">
        <v>3</v>
      </c>
      <c r="J14" s="933">
        <v>4.7020184217077404E-2</v>
      </c>
      <c r="K14" s="934">
        <v>0.10512649905010683</v>
      </c>
      <c r="M14" s="67" t="s">
        <v>3</v>
      </c>
      <c r="N14" s="60">
        <v>3.8885260663507115E-2</v>
      </c>
      <c r="O14" s="33">
        <f t="shared" si="4"/>
        <v>98.457480000000018</v>
      </c>
    </row>
    <row r="15" spans="1:15">
      <c r="A15" s="67" t="s">
        <v>154</v>
      </c>
      <c r="B15" s="60">
        <v>4.6617350384148812E-2</v>
      </c>
      <c r="C15" s="33">
        <f t="shared" si="1"/>
        <v>115.28470750000001</v>
      </c>
      <c r="D15" s="75"/>
      <c r="E15" s="67" t="s">
        <v>154</v>
      </c>
      <c r="F15" s="60">
        <v>4.1174129698780183E-2</v>
      </c>
      <c r="G15" s="33">
        <f t="shared" si="2"/>
        <v>124.0576527824247</v>
      </c>
      <c r="H15" s="32">
        <f t="shared" si="3"/>
        <v>8.7729452824246863</v>
      </c>
      <c r="I15" s="67" t="s">
        <v>154</v>
      </c>
      <c r="J15" s="933">
        <v>4.1174129698780183E-2</v>
      </c>
      <c r="K15" s="934">
        <v>9.2056043138506294E-2</v>
      </c>
      <c r="M15" s="67" t="s">
        <v>154</v>
      </c>
      <c r="N15" s="60">
        <v>4.1307898894154829E-2</v>
      </c>
      <c r="O15" s="33">
        <f t="shared" si="4"/>
        <v>104.59160000000003</v>
      </c>
    </row>
    <row r="16" spans="1:15">
      <c r="A16" s="67" t="s">
        <v>155</v>
      </c>
      <c r="B16" s="60">
        <v>5.9612626364739178E-2</v>
      </c>
      <c r="C16" s="33">
        <f t="shared" si="1"/>
        <v>147.42202499999999</v>
      </c>
      <c r="D16" s="75"/>
      <c r="E16" s="67" t="s">
        <v>155</v>
      </c>
      <c r="F16" s="60">
        <v>5.2897707244212104E-2</v>
      </c>
      <c r="G16" s="33">
        <f t="shared" si="2"/>
        <v>159.38079192681107</v>
      </c>
      <c r="H16" s="32">
        <f t="shared" si="3"/>
        <v>11.95876692681108</v>
      </c>
      <c r="I16" s="67" t="s">
        <v>155</v>
      </c>
      <c r="J16" s="933">
        <v>5.2897707244212104E-2</v>
      </c>
      <c r="K16" s="934">
        <v>0.11826731143137025</v>
      </c>
      <c r="M16" s="67" t="s">
        <v>155</v>
      </c>
      <c r="N16" s="60">
        <v>4.6662312796208534E-2</v>
      </c>
      <c r="O16" s="33">
        <f t="shared" si="4"/>
        <v>118.148976</v>
      </c>
    </row>
    <row r="17" spans="1:15">
      <c r="A17" s="67" t="s">
        <v>9</v>
      </c>
      <c r="B17" s="60">
        <v>2.2979030327537401E-2</v>
      </c>
      <c r="C17" s="33">
        <f t="shared" si="1"/>
        <v>56.827141999999995</v>
      </c>
      <c r="D17" s="75"/>
      <c r="E17" s="67" t="s">
        <v>9</v>
      </c>
      <c r="F17" s="60">
        <v>2.1811367355406192E-2</v>
      </c>
      <c r="G17" s="33">
        <f t="shared" si="2"/>
        <v>65.717649841838863</v>
      </c>
      <c r="H17" s="32">
        <f t="shared" si="3"/>
        <v>8.8905078418388683</v>
      </c>
      <c r="I17" s="67" t="s">
        <v>9</v>
      </c>
      <c r="J17" s="933">
        <v>2.1811367355406192E-2</v>
      </c>
      <c r="K17" s="934">
        <v>4.8765285116361919E-2</v>
      </c>
      <c r="M17" s="67" t="s">
        <v>9</v>
      </c>
      <c r="N17" s="60">
        <v>3.4588362085308057E-2</v>
      </c>
      <c r="O17" s="33">
        <f t="shared" si="4"/>
        <v>87.577732799999993</v>
      </c>
    </row>
    <row r="18" spans="1:15">
      <c r="A18" s="67" t="s">
        <v>156</v>
      </c>
      <c r="B18" s="60">
        <v>6.2185928022644545E-4</v>
      </c>
      <c r="C18" s="33">
        <f t="shared" si="1"/>
        <v>1.5378579999999995</v>
      </c>
      <c r="D18" s="75"/>
      <c r="E18" s="67" t="s">
        <v>156</v>
      </c>
      <c r="F18" s="60">
        <v>6.2618139573479374E-4</v>
      </c>
      <c r="G18" s="33">
        <f t="shared" si="2"/>
        <v>1.8866845453489336</v>
      </c>
      <c r="H18" s="32">
        <f t="shared" si="3"/>
        <v>0.34882654534893409</v>
      </c>
      <c r="I18" s="67" t="s">
        <v>156</v>
      </c>
      <c r="J18" s="933">
        <v>6.2618139573479374E-4</v>
      </c>
      <c r="K18" s="934">
        <v>1.4E-3</v>
      </c>
      <c r="M18" s="67" t="s">
        <v>156</v>
      </c>
      <c r="N18" s="60">
        <v>7.5918925750394944E-4</v>
      </c>
      <c r="O18" s="33">
        <f t="shared" si="4"/>
        <v>1.9222672000000001</v>
      </c>
    </row>
    <row r="19" spans="1:15">
      <c r="A19" s="67" t="s">
        <v>10</v>
      </c>
      <c r="B19" s="60">
        <v>1.7883787909421755E-2</v>
      </c>
      <c r="C19" s="33">
        <f t="shared" si="1"/>
        <v>44.2266075</v>
      </c>
      <c r="D19" s="75"/>
      <c r="E19" s="67" t="s">
        <v>10</v>
      </c>
      <c r="F19" s="60">
        <v>1.5869312173263629E-2</v>
      </c>
      <c r="G19" s="33">
        <f t="shared" si="2"/>
        <v>47.814237578043311</v>
      </c>
      <c r="H19" s="32">
        <f t="shared" si="3"/>
        <v>3.5876300780433112</v>
      </c>
      <c r="I19" s="67" t="s">
        <v>10</v>
      </c>
      <c r="J19" s="933">
        <v>1.5869312173263629E-2</v>
      </c>
      <c r="K19" s="934">
        <v>3.5480193429411069E-2</v>
      </c>
      <c r="M19" s="67" t="s">
        <v>10</v>
      </c>
      <c r="N19" s="60">
        <v>8.3992163033175353E-3</v>
      </c>
      <c r="O19" s="33">
        <f t="shared" si="4"/>
        <v>21.266815680000001</v>
      </c>
    </row>
    <row r="20" spans="1:15">
      <c r="A20" s="67" t="s">
        <v>157</v>
      </c>
      <c r="B20" s="60">
        <v>0.15316740800646989</v>
      </c>
      <c r="C20" s="33">
        <f t="shared" si="1"/>
        <v>378.78300000000002</v>
      </c>
      <c r="D20" s="75"/>
      <c r="E20" s="67" t="s">
        <v>157</v>
      </c>
      <c r="F20" s="60">
        <v>0.16039014189693798</v>
      </c>
      <c r="G20" s="33">
        <f t="shared" si="2"/>
        <v>483.25549753547415</v>
      </c>
      <c r="H20" s="32">
        <f t="shared" si="3"/>
        <v>104.47249753547413</v>
      </c>
      <c r="I20" s="67" t="s">
        <v>157</v>
      </c>
      <c r="J20" s="933">
        <v>0.16039014189693798</v>
      </c>
      <c r="K20" s="934">
        <v>0.35859608762764184</v>
      </c>
      <c r="M20" s="67" t="s">
        <v>157</v>
      </c>
      <c r="N20" s="60">
        <v>0.13600236966824641</v>
      </c>
      <c r="O20" s="33">
        <f t="shared" si="4"/>
        <v>344.35799999999995</v>
      </c>
    </row>
    <row r="21" spans="1:15">
      <c r="A21" s="70" t="s">
        <v>159</v>
      </c>
      <c r="B21" s="71">
        <v>1.6212640517590023E-2</v>
      </c>
      <c r="C21" s="89">
        <f t="shared" si="1"/>
        <v>40.093860000000127</v>
      </c>
      <c r="D21" s="75"/>
      <c r="E21" s="70" t="s">
        <v>159</v>
      </c>
      <c r="F21" s="71">
        <v>1.9153487013525899E-2</v>
      </c>
      <c r="G21" s="89">
        <f t="shared" si="2"/>
        <v>57.709456371753532</v>
      </c>
      <c r="H21" s="32">
        <f t="shared" si="3"/>
        <v>17.615596371753405</v>
      </c>
      <c r="I21" s="70" t="s">
        <v>159</v>
      </c>
      <c r="J21" s="935">
        <v>1.9153487013525899E-2</v>
      </c>
      <c r="K21" s="936">
        <v>4.282286570885787E-2</v>
      </c>
      <c r="M21" s="70" t="s">
        <v>159</v>
      </c>
      <c r="N21" s="71">
        <v>0</v>
      </c>
      <c r="O21" s="89">
        <v>0</v>
      </c>
    </row>
    <row r="26" spans="1:15" ht="13.5" thickBot="1">
      <c r="E26" s="1020" t="s">
        <v>222</v>
      </c>
      <c r="F26" s="1020"/>
      <c r="G26" s="91"/>
      <c r="H26" s="91"/>
      <c r="I26" s="91"/>
    </row>
    <row r="27" spans="1:15" ht="13.5" thickBot="1">
      <c r="E27" s="92" t="s">
        <v>4</v>
      </c>
      <c r="F27" s="93" t="s">
        <v>5</v>
      </c>
      <c r="G27" s="94" t="s">
        <v>6</v>
      </c>
      <c r="H27" s="94" t="s">
        <v>7</v>
      </c>
      <c r="I27" s="927"/>
    </row>
    <row r="28" spans="1:15" ht="13.5" thickBot="1">
      <c r="E28" s="95" t="s">
        <v>203</v>
      </c>
      <c r="F28" s="96">
        <v>0.82</v>
      </c>
      <c r="G28" s="96">
        <v>0.46</v>
      </c>
      <c r="H28" s="96">
        <v>0.33</v>
      </c>
      <c r="I28" s="23"/>
    </row>
    <row r="29" spans="1:15" ht="13.5" thickBot="1">
      <c r="E29" s="95" t="s">
        <v>204</v>
      </c>
      <c r="F29" s="96">
        <v>0.01</v>
      </c>
      <c r="G29" s="96">
        <v>0.24</v>
      </c>
      <c r="H29" s="96">
        <v>0.24</v>
      </c>
      <c r="I29" s="23"/>
    </row>
    <row r="30" spans="1:15" ht="13.5" thickBot="1">
      <c r="E30" s="97" t="s">
        <v>143</v>
      </c>
      <c r="F30" s="96">
        <v>1.35E-2</v>
      </c>
      <c r="G30" s="96">
        <v>0.02</v>
      </c>
      <c r="H30" s="96">
        <v>9.5000000000000001E-2</v>
      </c>
      <c r="I30" s="23"/>
    </row>
    <row r="31" spans="1:15" ht="13.5" thickBot="1">
      <c r="E31" s="97" t="s">
        <v>223</v>
      </c>
      <c r="F31" s="96">
        <v>3.2500000000000001E-2</v>
      </c>
      <c r="G31" s="96">
        <v>3.5000000000000003E-2</v>
      </c>
      <c r="H31" s="96">
        <v>0.31</v>
      </c>
      <c r="I31" s="23"/>
    </row>
    <row r="32" spans="1:15" ht="13.5" thickBot="1">
      <c r="E32" s="97" t="s">
        <v>8</v>
      </c>
      <c r="F32" s="96">
        <v>1.8E-3</v>
      </c>
      <c r="G32" s="96">
        <v>0.01</v>
      </c>
      <c r="H32" s="96">
        <v>0.01</v>
      </c>
      <c r="I32" s="23"/>
    </row>
    <row r="33" spans="5:9" ht="13.5" thickBot="1">
      <c r="E33" s="97" t="s">
        <v>157</v>
      </c>
      <c r="F33" s="96">
        <v>0.06</v>
      </c>
      <c r="G33" s="96">
        <v>0.22</v>
      </c>
      <c r="H33" s="96">
        <v>0.28899999999999998</v>
      </c>
      <c r="I33" s="23"/>
    </row>
    <row r="34" spans="5:9" ht="13.5" thickBot="1">
      <c r="E34" s="97" t="s">
        <v>9</v>
      </c>
      <c r="F34" s="96">
        <v>6.2199999999999998E-2</v>
      </c>
      <c r="G34" s="96">
        <v>1.4999999999999999E-2</v>
      </c>
      <c r="H34" s="96">
        <v>1.9E-2</v>
      </c>
      <c r="I34" s="23"/>
    </row>
    <row r="35" spans="5:9">
      <c r="E35" s="1021"/>
      <c r="F35" s="1021"/>
      <c r="G35" s="1016"/>
      <c r="H35" s="1016"/>
      <c r="I35" s="91"/>
    </row>
    <row r="36" spans="5:9" ht="13.5" thickBot="1">
      <c r="E36" s="1022" t="s">
        <v>224</v>
      </c>
      <c r="F36" s="1022"/>
      <c r="G36" s="1017"/>
      <c r="H36" s="1017"/>
      <c r="I36" s="91"/>
    </row>
    <row r="37" spans="5:9" ht="39" thickBot="1">
      <c r="E37" s="98" t="s">
        <v>225</v>
      </c>
      <c r="F37" s="99" t="s">
        <v>226</v>
      </c>
      <c r="G37" s="94" t="s">
        <v>227</v>
      </c>
      <c r="H37" s="100" t="s">
        <v>228</v>
      </c>
      <c r="I37" s="928"/>
    </row>
    <row r="38" spans="5:9" ht="13.5" thickBot="1">
      <c r="E38" s="101">
        <v>1</v>
      </c>
      <c r="F38" s="102" t="s">
        <v>3</v>
      </c>
      <c r="G38" s="103" t="s">
        <v>229</v>
      </c>
      <c r="H38" s="104">
        <v>0.24</v>
      </c>
      <c r="I38" s="17"/>
    </row>
    <row r="39" spans="5:9" ht="13.5" thickBot="1">
      <c r="E39" s="101">
        <v>2</v>
      </c>
      <c r="F39" s="102" t="s">
        <v>154</v>
      </c>
      <c r="G39" s="103" t="s">
        <v>230</v>
      </c>
      <c r="H39" s="104">
        <v>0.42</v>
      </c>
      <c r="I39" s="17"/>
    </row>
    <row r="40" spans="5:9" ht="13.5" thickBot="1">
      <c r="E40" s="101">
        <v>3</v>
      </c>
      <c r="F40" s="102" t="s">
        <v>155</v>
      </c>
      <c r="G40" s="103" t="s">
        <v>229</v>
      </c>
      <c r="H40" s="104">
        <v>0.27</v>
      </c>
      <c r="I40" s="17"/>
    </row>
    <row r="41" spans="5:9" ht="13.5" thickBot="1">
      <c r="E41" s="101">
        <v>4</v>
      </c>
      <c r="F41" s="102" t="s">
        <v>231</v>
      </c>
      <c r="G41" s="103" t="s">
        <v>232</v>
      </c>
      <c r="H41" s="104">
        <v>1.4</v>
      </c>
      <c r="I41" s="17"/>
    </row>
    <row r="42" spans="5:9" ht="13.5" thickBot="1">
      <c r="E42" s="101">
        <v>5</v>
      </c>
      <c r="F42" s="102" t="s">
        <v>233</v>
      </c>
      <c r="G42" s="103" t="s">
        <v>234</v>
      </c>
      <c r="H42" s="104">
        <v>0</v>
      </c>
      <c r="I42" s="17"/>
    </row>
    <row r="43" spans="5:9" ht="13.5" thickBot="1">
      <c r="E43" s="101">
        <v>6</v>
      </c>
      <c r="F43" s="102" t="s">
        <v>10</v>
      </c>
      <c r="G43" s="103" t="s">
        <v>235</v>
      </c>
      <c r="H43" s="104">
        <v>0.3</v>
      </c>
      <c r="I43" s="17"/>
    </row>
  </sheetData>
  <mergeCells count="6">
    <mergeCell ref="H35:H36"/>
    <mergeCell ref="B1:C1"/>
    <mergeCell ref="E26:F26"/>
    <mergeCell ref="E35:F35"/>
    <mergeCell ref="E36:F36"/>
    <mergeCell ref="G35:G3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FDFD-6BEA-4B45-BF04-7767A0D6A24F}">
  <sheetPr codeName="Sheet22"/>
  <dimension ref="A1:FW76"/>
  <sheetViews>
    <sheetView showGridLines="0" topLeftCell="B1" zoomScale="110" zoomScaleNormal="110" workbookViewId="0">
      <selection activeCell="F69" sqref="F69"/>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37" customWidth="1"/>
    <col min="7" max="7" width="14.7109375" style="337" customWidth="1"/>
    <col min="8" max="8" width="18.7109375" style="337" customWidth="1"/>
    <col min="9" max="9" width="19.28515625" style="337" customWidth="1"/>
    <col min="10" max="10" width="16.140625" style="337" customWidth="1"/>
    <col min="11" max="11" width="15.85546875" style="337" customWidth="1"/>
    <col min="12" max="12" width="15.5703125" style="337" customWidth="1"/>
    <col min="13" max="14" width="14" style="337" customWidth="1"/>
    <col min="15" max="15" width="16.5703125" style="337" customWidth="1"/>
    <col min="16" max="16" width="13.85546875" style="337" bestFit="1" customWidth="1"/>
    <col min="17" max="17" width="14.5703125" style="337" customWidth="1"/>
    <col min="18" max="18" width="13.710937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627" t="s">
        <v>299</v>
      </c>
      <c r="B1" s="627" t="s">
        <v>300</v>
      </c>
      <c r="C1" s="628" t="s">
        <v>146</v>
      </c>
      <c r="D1" s="628" t="s">
        <v>162</v>
      </c>
      <c r="E1" s="627" t="s">
        <v>301</v>
      </c>
      <c r="F1" s="629" t="s">
        <v>4</v>
      </c>
      <c r="G1" s="630">
        <v>41913</v>
      </c>
      <c r="H1" s="630">
        <v>41944</v>
      </c>
      <c r="I1" s="630">
        <v>41974</v>
      </c>
      <c r="J1" s="630">
        <v>42005</v>
      </c>
      <c r="K1" s="630">
        <v>42036</v>
      </c>
      <c r="L1" s="630">
        <v>42064</v>
      </c>
      <c r="M1" s="630">
        <v>42095</v>
      </c>
      <c r="N1" s="630">
        <v>42125</v>
      </c>
      <c r="O1" s="630">
        <v>42156</v>
      </c>
      <c r="P1" s="630">
        <v>42186</v>
      </c>
      <c r="Q1" s="630">
        <v>42217</v>
      </c>
      <c r="R1" s="630">
        <v>42248</v>
      </c>
      <c r="S1" s="630">
        <v>42278</v>
      </c>
      <c r="T1" s="630">
        <v>42309</v>
      </c>
      <c r="U1" s="630">
        <v>42339</v>
      </c>
      <c r="V1" s="630">
        <v>42370</v>
      </c>
      <c r="W1" s="630">
        <v>42401</v>
      </c>
      <c r="X1" s="630">
        <v>42430</v>
      </c>
      <c r="Y1" s="630">
        <v>42461</v>
      </c>
      <c r="Z1" s="630">
        <v>42491</v>
      </c>
      <c r="AA1" s="630">
        <v>42522</v>
      </c>
      <c r="AB1" s="630">
        <v>42552</v>
      </c>
      <c r="AC1" s="630">
        <v>42583</v>
      </c>
      <c r="AD1" s="630">
        <v>42614</v>
      </c>
      <c r="AE1" s="630">
        <v>42644</v>
      </c>
      <c r="AF1" s="630">
        <v>42675</v>
      </c>
      <c r="AG1" s="630">
        <v>42705</v>
      </c>
      <c r="AH1" s="630">
        <v>42736</v>
      </c>
      <c r="AI1" s="630">
        <v>42767</v>
      </c>
      <c r="AJ1" s="630">
        <v>42795</v>
      </c>
      <c r="AK1" s="630">
        <v>42826</v>
      </c>
      <c r="AL1" s="630">
        <v>42856</v>
      </c>
      <c r="AM1" s="630">
        <v>42887</v>
      </c>
      <c r="AN1" s="630">
        <v>42917</v>
      </c>
      <c r="AO1" s="630">
        <v>42948</v>
      </c>
      <c r="AP1" s="630">
        <v>42979</v>
      </c>
      <c r="AQ1" s="630">
        <v>43009</v>
      </c>
      <c r="AR1" s="630">
        <v>43040</v>
      </c>
      <c r="AS1" s="630">
        <v>43070</v>
      </c>
      <c r="AT1" s="630">
        <v>43101</v>
      </c>
      <c r="AU1" s="630">
        <v>43132</v>
      </c>
      <c r="AV1" s="630">
        <v>43160</v>
      </c>
      <c r="AW1" s="630">
        <v>43191</v>
      </c>
      <c r="AX1" s="630">
        <v>43221</v>
      </c>
      <c r="AY1" s="630">
        <v>43252</v>
      </c>
      <c r="AZ1" s="630">
        <v>43282</v>
      </c>
      <c r="BA1" s="630">
        <v>43313</v>
      </c>
      <c r="BB1" s="630">
        <v>43344</v>
      </c>
      <c r="BC1" s="630">
        <v>43374</v>
      </c>
      <c r="BD1" s="630">
        <v>43405</v>
      </c>
      <c r="BE1" s="630">
        <v>43435</v>
      </c>
      <c r="BF1" s="630">
        <v>43466</v>
      </c>
      <c r="BG1" s="630">
        <v>43497</v>
      </c>
      <c r="BH1" s="630">
        <v>43525</v>
      </c>
      <c r="BI1" s="630">
        <v>43556</v>
      </c>
      <c r="BJ1" s="630">
        <v>43586</v>
      </c>
      <c r="BK1" s="630">
        <v>43617</v>
      </c>
      <c r="BL1" s="630">
        <v>43647</v>
      </c>
      <c r="BM1" s="630">
        <v>43678</v>
      </c>
      <c r="BN1" s="630">
        <v>43709</v>
      </c>
      <c r="BO1" s="630">
        <v>43739</v>
      </c>
      <c r="BP1" s="630">
        <v>43770</v>
      </c>
      <c r="BQ1" s="630">
        <v>43800</v>
      </c>
      <c r="BR1" s="630">
        <v>43831</v>
      </c>
      <c r="BS1" s="630">
        <v>43862</v>
      </c>
      <c r="BT1" s="630">
        <v>43891</v>
      </c>
      <c r="BU1" s="630">
        <v>43922</v>
      </c>
      <c r="BV1" s="630">
        <v>43952</v>
      </c>
      <c r="BW1" s="630">
        <v>43983</v>
      </c>
      <c r="BX1" s="630">
        <v>44013</v>
      </c>
      <c r="BY1" s="630">
        <v>44044</v>
      </c>
      <c r="BZ1" s="630">
        <v>44075</v>
      </c>
      <c r="CA1" s="630">
        <v>44105</v>
      </c>
      <c r="CB1" s="630">
        <v>44136</v>
      </c>
      <c r="CC1" s="630">
        <v>44166</v>
      </c>
      <c r="CD1" s="630">
        <v>44197</v>
      </c>
      <c r="CE1" s="630">
        <v>44228</v>
      </c>
      <c r="CF1" s="630">
        <v>44256</v>
      </c>
      <c r="CG1" s="630">
        <v>44287</v>
      </c>
      <c r="CH1" s="630">
        <v>44317</v>
      </c>
      <c r="CI1" s="630">
        <v>44348</v>
      </c>
      <c r="CJ1" s="630">
        <v>44378</v>
      </c>
      <c r="CK1" s="630">
        <v>44409</v>
      </c>
      <c r="CL1" s="630">
        <v>44440</v>
      </c>
      <c r="CM1" s="631" t="s">
        <v>402</v>
      </c>
      <c r="CN1" s="245"/>
      <c r="CO1" s="245"/>
      <c r="CP1" s="245"/>
      <c r="CQ1" s="245"/>
      <c r="CR1" s="245"/>
      <c r="CS1" s="245"/>
      <c r="CT1" s="245"/>
      <c r="CU1" s="245"/>
      <c r="CV1" s="245"/>
      <c r="CW1" s="245"/>
      <c r="CX1" s="245"/>
      <c r="CY1" s="245"/>
      <c r="CZ1" s="245"/>
      <c r="DA1" s="245"/>
      <c r="DB1" s="245"/>
      <c r="DC1" s="245"/>
      <c r="DD1" s="245"/>
      <c r="DE1" s="245"/>
      <c r="DF1" s="245"/>
      <c r="DG1" s="245"/>
      <c r="DH1" s="245"/>
      <c r="DI1" s="245"/>
      <c r="DJ1" s="245"/>
      <c r="DK1" s="245"/>
      <c r="DL1" s="245"/>
      <c r="DM1" s="245"/>
      <c r="DN1" s="245"/>
      <c r="DO1" s="245"/>
      <c r="DP1" s="245"/>
      <c r="DQ1" s="245"/>
      <c r="DR1" s="245"/>
      <c r="DS1" s="245"/>
      <c r="DT1" s="245"/>
      <c r="DU1" s="245"/>
      <c r="DV1" s="245"/>
      <c r="DW1" s="245"/>
      <c r="DX1" s="245"/>
      <c r="DY1" s="245"/>
      <c r="DZ1" s="245"/>
      <c r="EA1" s="245"/>
      <c r="EB1" s="245"/>
      <c r="EC1" s="245"/>
      <c r="ED1" s="245"/>
      <c r="EE1" s="245"/>
      <c r="EF1" s="245"/>
      <c r="EG1" s="245"/>
      <c r="EH1" s="245"/>
      <c r="EI1" s="245"/>
      <c r="EJ1" s="245"/>
      <c r="EK1" s="245"/>
      <c r="EL1" s="245"/>
      <c r="EM1" s="245"/>
      <c r="EN1" s="245"/>
      <c r="EO1" s="245"/>
      <c r="EP1" s="245"/>
      <c r="EQ1" s="245"/>
      <c r="ER1" s="245"/>
      <c r="ES1" s="245"/>
      <c r="ET1" s="245"/>
      <c r="EU1" s="245"/>
      <c r="EV1" s="245"/>
      <c r="EW1" s="245"/>
      <c r="EX1" s="245"/>
      <c r="EY1" s="245"/>
      <c r="EZ1" s="245"/>
      <c r="FA1" s="245"/>
      <c r="FB1" s="245"/>
      <c r="FC1" s="245"/>
      <c r="FD1" s="245"/>
      <c r="FE1" s="245"/>
      <c r="FF1" s="245"/>
      <c r="FG1" s="245"/>
      <c r="FH1" s="245"/>
      <c r="FI1" s="245"/>
      <c r="FJ1" s="245"/>
      <c r="FK1" s="245"/>
      <c r="FL1" s="245"/>
      <c r="FM1" s="245"/>
      <c r="FN1" s="245"/>
      <c r="FO1" s="245"/>
      <c r="FP1" s="245"/>
      <c r="FQ1" s="245"/>
      <c r="FR1" s="245"/>
      <c r="FS1" s="245"/>
      <c r="FT1" s="245"/>
      <c r="FU1" s="245"/>
      <c r="FV1" s="245"/>
    </row>
    <row r="2" spans="1:178">
      <c r="A2" s="1025" t="s">
        <v>302</v>
      </c>
      <c r="B2" s="632" t="s">
        <v>303</v>
      </c>
      <c r="C2" s="633" t="s">
        <v>142</v>
      </c>
      <c r="D2" s="633"/>
      <c r="E2" s="634" t="s">
        <v>348</v>
      </c>
      <c r="F2" s="635" t="s">
        <v>148</v>
      </c>
      <c r="G2" s="635">
        <v>24840.979509560882</v>
      </c>
      <c r="H2" s="635">
        <v>27601.017012299759</v>
      </c>
      <c r="I2" s="635">
        <v>27872.673549717059</v>
      </c>
      <c r="J2" s="635">
        <v>27711.2808766833</v>
      </c>
      <c r="K2" s="635">
        <v>27693.66376423134</v>
      </c>
      <c r="L2" s="635">
        <v>27809.557786379155</v>
      </c>
      <c r="M2" s="635">
        <v>27872.235855872641</v>
      </c>
      <c r="N2" s="635">
        <v>28140.242871436196</v>
      </c>
      <c r="O2" s="635">
        <v>26877.737654853237</v>
      </c>
      <c r="P2" s="635">
        <v>26833.652476261464</v>
      </c>
      <c r="Q2" s="635">
        <v>27179.662397707976</v>
      </c>
      <c r="R2" s="635">
        <v>27444.927209212419</v>
      </c>
      <c r="S2" s="636">
        <v>27172.757259730271</v>
      </c>
      <c r="T2" s="636">
        <v>27435.402155329346</v>
      </c>
      <c r="U2" s="636">
        <v>24656.197597598231</v>
      </c>
      <c r="V2" s="636">
        <v>24857.002097505603</v>
      </c>
      <c r="W2" s="636">
        <v>24957.504418524</v>
      </c>
      <c r="X2" s="636">
        <v>24671.356060602</v>
      </c>
      <c r="Y2" s="636">
        <v>22065.031348464003</v>
      </c>
      <c r="Z2" s="636">
        <v>22128.595366396799</v>
      </c>
      <c r="AA2" s="636">
        <v>22175.145645834004</v>
      </c>
      <c r="AB2" s="636">
        <v>22129.757356843198</v>
      </c>
      <c r="AC2" s="636">
        <v>22130.982157584003</v>
      </c>
      <c r="AD2" s="636">
        <v>22101.814627121999</v>
      </c>
      <c r="AE2" s="636">
        <v>20176.261138200003</v>
      </c>
      <c r="AF2" s="636">
        <v>20344.666108500001</v>
      </c>
      <c r="AG2" s="636">
        <v>20306.532203250001</v>
      </c>
      <c r="AH2" s="636">
        <v>20326.102690200001</v>
      </c>
      <c r="AI2" s="636">
        <v>20186.004687749999</v>
      </c>
      <c r="AJ2" s="636">
        <v>20024.232258749998</v>
      </c>
      <c r="AK2" s="636">
        <v>19807.044369888001</v>
      </c>
      <c r="AL2" s="636">
        <v>19811.148591575999</v>
      </c>
      <c r="AM2" s="636">
        <v>19814.393790120001</v>
      </c>
      <c r="AN2" s="636">
        <v>19787.165938022405</v>
      </c>
      <c r="AO2" s="636">
        <v>19764.443185079999</v>
      </c>
      <c r="AP2" s="636">
        <v>19819.643376</v>
      </c>
      <c r="AQ2" s="636">
        <v>21243.123751632003</v>
      </c>
      <c r="AR2" s="636">
        <v>21228.775525005003</v>
      </c>
      <c r="AS2" s="636">
        <v>21095.414875967999</v>
      </c>
      <c r="AT2" s="637">
        <v>28994.924777010401</v>
      </c>
      <c r="AU2" s="636">
        <v>29083.53795837006</v>
      </c>
      <c r="AV2" s="636">
        <v>34366.504780699324</v>
      </c>
      <c r="AW2" s="636">
        <v>33560.84076592559</v>
      </c>
      <c r="AX2" s="636">
        <v>26218.900621677058</v>
      </c>
      <c r="AY2" s="636">
        <v>35995.3751249493</v>
      </c>
      <c r="AZ2" s="636">
        <v>40427.168047868036</v>
      </c>
      <c r="BA2" s="636">
        <v>41802.471042837584</v>
      </c>
      <c r="BB2" s="636">
        <v>42113.614300327099</v>
      </c>
      <c r="BC2" s="636">
        <v>25996.232831627069</v>
      </c>
      <c r="BD2" s="636">
        <v>23233.174449043679</v>
      </c>
      <c r="BE2" s="636">
        <v>23262.637969758925</v>
      </c>
      <c r="BF2" s="636">
        <v>23907.7292329458</v>
      </c>
      <c r="BG2" s="636">
        <v>23317.963262738322</v>
      </c>
      <c r="BH2" s="636">
        <v>23383.118785073329</v>
      </c>
      <c r="BI2" s="636">
        <v>24651.246231346595</v>
      </c>
      <c r="BJ2" s="636">
        <v>24557.925586871806</v>
      </c>
      <c r="BK2" s="636">
        <v>24829.484559121953</v>
      </c>
      <c r="BL2" s="636">
        <v>25055.43026719796</v>
      </c>
      <c r="BM2" s="636">
        <v>25788.630012426867</v>
      </c>
      <c r="BN2" s="636">
        <v>24643.230588247261</v>
      </c>
      <c r="BO2" s="636">
        <v>22952.67731483098</v>
      </c>
      <c r="BP2" s="636">
        <v>22947.88884116093</v>
      </c>
      <c r="BQ2" s="636">
        <v>23317.24351414209</v>
      </c>
      <c r="BR2" s="636">
        <v>23890.571956586806</v>
      </c>
      <c r="BS2" s="636">
        <v>24228.610372014118</v>
      </c>
      <c r="BT2" s="636">
        <v>23541.978231953181</v>
      </c>
      <c r="BU2" s="636">
        <v>20644.541889138898</v>
      </c>
      <c r="BV2" s="636">
        <v>20890.304335565754</v>
      </c>
      <c r="BW2" s="636">
        <v>21374.533561952143</v>
      </c>
      <c r="BX2" s="636">
        <v>20823.815492546022</v>
      </c>
      <c r="BY2" s="636">
        <v>21262.530692823591</v>
      </c>
      <c r="BZ2" s="636">
        <v>21999.186981115297</v>
      </c>
      <c r="CA2" s="636">
        <v>19071.183854484243</v>
      </c>
      <c r="CB2" s="636">
        <v>18416.612908296738</v>
      </c>
      <c r="CC2" s="636">
        <v>19631.38584711331</v>
      </c>
      <c r="CD2" s="636">
        <v>18862.12739731725</v>
      </c>
      <c r="CE2" s="636">
        <v>19417.545218868301</v>
      </c>
      <c r="CF2" s="636">
        <v>19573.277993613043</v>
      </c>
      <c r="CG2" s="636">
        <v>19181.382115766464</v>
      </c>
      <c r="CH2" s="636">
        <v>19438.661485292767</v>
      </c>
      <c r="CI2" s="636">
        <v>19349.709140187424</v>
      </c>
      <c r="CJ2" s="636">
        <v>19586.01839165475</v>
      </c>
      <c r="CK2" s="636">
        <v>18872.315054019989</v>
      </c>
      <c r="CL2" s="635">
        <v>18949.614134508891</v>
      </c>
      <c r="CM2" s="636">
        <f t="shared" ref="CM2:CM57" si="0">AVERAGE(G2:CL2)</f>
        <v>24065.571279365566</v>
      </c>
      <c r="CN2" s="638" t="s">
        <v>163</v>
      </c>
      <c r="CO2" s="638"/>
      <c r="CP2" s="638"/>
      <c r="CQ2" s="638"/>
      <c r="CR2" s="638"/>
      <c r="CS2" s="638"/>
      <c r="CT2" s="638"/>
      <c r="CU2" s="638"/>
      <c r="CV2" s="638"/>
      <c r="CW2" s="638"/>
      <c r="CX2" s="638"/>
      <c r="CY2" s="638"/>
      <c r="CZ2" s="638"/>
      <c r="DA2" s="638"/>
      <c r="DB2" s="638"/>
      <c r="DC2" s="638"/>
      <c r="DD2" s="638"/>
      <c r="DE2" s="638"/>
      <c r="DF2" s="638"/>
      <c r="DG2" s="638"/>
      <c r="DH2" s="638"/>
      <c r="DI2" s="638"/>
      <c r="DJ2" s="638"/>
      <c r="DK2" s="638"/>
      <c r="DL2" s="638"/>
      <c r="DM2" s="638"/>
      <c r="DN2" s="638"/>
      <c r="DO2" s="638"/>
      <c r="DP2" s="638"/>
      <c r="DQ2" s="638"/>
      <c r="DR2" s="638"/>
      <c r="DS2" s="638"/>
      <c r="DT2" s="638"/>
      <c r="DU2" s="638"/>
      <c r="DV2" s="638"/>
      <c r="DW2" s="638"/>
      <c r="DX2" s="638"/>
      <c r="DY2" s="638"/>
      <c r="DZ2" s="638"/>
      <c r="EA2" s="638"/>
      <c r="EB2" s="638"/>
      <c r="EC2" s="245"/>
      <c r="ED2" s="245"/>
      <c r="EE2" s="245"/>
      <c r="EF2" s="245"/>
      <c r="EG2" s="245"/>
      <c r="EH2" s="245"/>
      <c r="EI2" s="245"/>
      <c r="EJ2" s="245"/>
      <c r="EK2" s="245"/>
      <c r="EL2" s="245"/>
      <c r="EM2" s="245"/>
      <c r="EN2" s="245"/>
      <c r="EO2" s="245"/>
      <c r="EP2" s="245"/>
      <c r="EQ2" s="245"/>
      <c r="ER2" s="245"/>
      <c r="ES2" s="245"/>
      <c r="ET2" s="245"/>
      <c r="EU2" s="245"/>
      <c r="EV2" s="245"/>
      <c r="EW2" s="245"/>
      <c r="EX2" s="245"/>
      <c r="EY2" s="245"/>
      <c r="EZ2" s="245"/>
      <c r="FA2" s="245"/>
      <c r="FB2" s="245"/>
      <c r="FC2" s="245"/>
      <c r="FD2" s="245"/>
      <c r="FE2" s="245"/>
      <c r="FF2" s="245"/>
      <c r="FG2" s="245"/>
      <c r="FH2" s="245"/>
      <c r="FI2" s="245"/>
      <c r="FJ2" s="245"/>
      <c r="FK2" s="245"/>
      <c r="FL2" s="245"/>
      <c r="FM2" s="245"/>
      <c r="FN2" s="245"/>
      <c r="FO2" s="245"/>
      <c r="FP2" s="245"/>
      <c r="FQ2" s="245"/>
      <c r="FR2" s="245"/>
      <c r="FS2" s="245"/>
      <c r="FT2" s="245"/>
      <c r="FU2" s="245"/>
      <c r="FV2" s="245"/>
    </row>
    <row r="3" spans="1:178">
      <c r="A3" s="1026"/>
      <c r="B3" s="639" t="s">
        <v>303</v>
      </c>
      <c r="C3" s="640" t="s">
        <v>142</v>
      </c>
      <c r="D3" s="640"/>
      <c r="E3" s="245" t="s">
        <v>348</v>
      </c>
      <c r="F3" s="641" t="s">
        <v>0</v>
      </c>
      <c r="G3" s="641">
        <v>47327.845206284997</v>
      </c>
      <c r="H3" s="641">
        <v>39482.80760588</v>
      </c>
      <c r="I3" s="641">
        <v>36204.060790149997</v>
      </c>
      <c r="J3" s="641">
        <v>27698.208912624999</v>
      </c>
      <c r="K3" s="641">
        <v>29295.424416149999</v>
      </c>
      <c r="L3" s="641">
        <v>32785.037939000002</v>
      </c>
      <c r="M3" s="641">
        <v>30278.944923519997</v>
      </c>
      <c r="N3" s="641">
        <v>31112.532112649998</v>
      </c>
      <c r="O3" s="641">
        <v>27122.875893674995</v>
      </c>
      <c r="P3" s="641">
        <v>26376.786423944999</v>
      </c>
      <c r="Q3" s="641">
        <v>24927.501257080003</v>
      </c>
      <c r="R3" s="641">
        <v>21879.322637759997</v>
      </c>
      <c r="S3" s="642">
        <v>24575.123904479995</v>
      </c>
      <c r="T3" s="642">
        <v>27419.471417719997</v>
      </c>
      <c r="U3" s="642">
        <v>32111.792529339997</v>
      </c>
      <c r="V3" s="642">
        <v>24361.102800000001</v>
      </c>
      <c r="W3" s="642">
        <v>20343.800900000002</v>
      </c>
      <c r="X3" s="642">
        <v>20225.6142</v>
      </c>
      <c r="Y3" s="642">
        <v>22277.670000000002</v>
      </c>
      <c r="Z3" s="642">
        <v>22772.380700000002</v>
      </c>
      <c r="AA3" s="642">
        <v>23208.521000000001</v>
      </c>
      <c r="AB3" s="642">
        <v>20679.534800000001</v>
      </c>
      <c r="AC3" s="642">
        <v>19966.231</v>
      </c>
      <c r="AD3" s="642">
        <v>20608.4136</v>
      </c>
      <c r="AE3" s="642">
        <v>23739.838200000002</v>
      </c>
      <c r="AF3" s="642">
        <v>27675.5599</v>
      </c>
      <c r="AG3" s="642">
        <v>26944.4758</v>
      </c>
      <c r="AH3" s="642">
        <v>30970.144900000003</v>
      </c>
      <c r="AI3" s="642">
        <v>35685.062100000003</v>
      </c>
      <c r="AJ3" s="642">
        <v>33001.282700000003</v>
      </c>
      <c r="AK3" s="642">
        <v>28971.43</v>
      </c>
      <c r="AL3" s="642">
        <v>25940.411800000002</v>
      </c>
      <c r="AM3" s="642">
        <v>25950.870800000001</v>
      </c>
      <c r="AN3" s="642">
        <v>23221.071800000002</v>
      </c>
      <c r="AO3" s="642">
        <v>28110.654300000002</v>
      </c>
      <c r="AP3" s="642">
        <v>32381.064000000002</v>
      </c>
      <c r="AQ3" s="642">
        <v>39089.4666</v>
      </c>
      <c r="AR3" s="642">
        <v>38985.922500000001</v>
      </c>
      <c r="AS3" s="642">
        <v>39578.947800000002</v>
      </c>
      <c r="AT3" s="643">
        <v>39267.739761524499</v>
      </c>
      <c r="AU3" s="642">
        <v>35320.99284552411</v>
      </c>
      <c r="AV3" s="642">
        <v>32642.643561859699</v>
      </c>
      <c r="AW3" s="642">
        <v>32591.713857151481</v>
      </c>
      <c r="AX3" s="642">
        <v>35322.25032773053</v>
      </c>
      <c r="AY3" s="642">
        <v>39703.969071957552</v>
      </c>
      <c r="AZ3" s="642">
        <v>39873.279388030664</v>
      </c>
      <c r="BA3" s="642">
        <v>42186.838343884381</v>
      </c>
      <c r="BB3" s="642">
        <v>45353.692547267237</v>
      </c>
      <c r="BC3" s="642">
        <v>50421.563709397698</v>
      </c>
      <c r="BD3" s="642">
        <v>40583.378652357023</v>
      </c>
      <c r="BE3" s="642">
        <v>32948.17063043618</v>
      </c>
      <c r="BF3" s="642">
        <v>31831.243798285665</v>
      </c>
      <c r="BG3" s="642">
        <v>32775.625890130817</v>
      </c>
      <c r="BH3" s="642">
        <v>35603.026406517805</v>
      </c>
      <c r="BI3" s="642">
        <v>37413.346401247443</v>
      </c>
      <c r="BJ3" s="642">
        <v>38313.43145419551</v>
      </c>
      <c r="BK3" s="642">
        <v>31229.255203616198</v>
      </c>
      <c r="BL3" s="642">
        <v>26987.793742556612</v>
      </c>
      <c r="BM3" s="642">
        <v>27502.94958707604</v>
      </c>
      <c r="BN3" s="642">
        <v>26129.656129075174</v>
      </c>
      <c r="BO3" s="642">
        <v>31204.144072500429</v>
      </c>
      <c r="BP3" s="642">
        <v>32130.775456387943</v>
      </c>
      <c r="BQ3" s="642">
        <v>32763.935287141259</v>
      </c>
      <c r="BR3" s="642">
        <v>42146.917092812088</v>
      </c>
      <c r="BS3" s="642">
        <v>37776.741118253449</v>
      </c>
      <c r="BT3" s="642">
        <v>33392.157412302018</v>
      </c>
      <c r="BU3" s="642">
        <v>18333.270191784217</v>
      </c>
      <c r="BV3" s="642">
        <v>26907.499996889728</v>
      </c>
      <c r="BW3" s="642">
        <v>27733.582571128205</v>
      </c>
      <c r="BX3" s="642">
        <v>28238.348704213</v>
      </c>
      <c r="BY3" s="642">
        <v>28510.385603307008</v>
      </c>
      <c r="BZ3" s="642">
        <v>28060.277302456198</v>
      </c>
      <c r="CA3" s="642">
        <v>28820.536895295158</v>
      </c>
      <c r="CB3" s="642">
        <v>33404.388819080297</v>
      </c>
      <c r="CC3" s="642">
        <v>34644.168688458158</v>
      </c>
      <c r="CD3" s="642">
        <v>42078.873462612726</v>
      </c>
      <c r="CE3" s="642">
        <v>46073.542822435593</v>
      </c>
      <c r="CF3" s="642">
        <v>47621.606524213996</v>
      </c>
      <c r="CG3" s="642">
        <v>43640.112363280605</v>
      </c>
      <c r="CH3" s="642">
        <v>37985.33224426135</v>
      </c>
      <c r="CI3" s="642">
        <v>40810.0621081149</v>
      </c>
      <c r="CJ3" s="642">
        <v>48277.341437526047</v>
      </c>
      <c r="CK3" s="642">
        <v>51157.210854820602</v>
      </c>
      <c r="CL3" s="641">
        <v>51107.125769928265</v>
      </c>
      <c r="CM3" s="642">
        <f t="shared" si="0"/>
        <v>32620.334598562924</v>
      </c>
      <c r="CN3" s="245"/>
      <c r="CO3" s="638" t="s">
        <v>164</v>
      </c>
      <c r="CP3" s="638" t="s">
        <v>165</v>
      </c>
      <c r="CQ3" s="638" t="s">
        <v>166</v>
      </c>
      <c r="CR3" s="638" t="s">
        <v>1</v>
      </c>
      <c r="CS3" s="245"/>
      <c r="CT3" s="245"/>
      <c r="CU3" s="245"/>
      <c r="CV3" s="245"/>
      <c r="CW3" s="245"/>
      <c r="DB3" s="644"/>
      <c r="DC3" s="644"/>
      <c r="DD3" s="644"/>
      <c r="DE3" s="644"/>
      <c r="DF3" s="644"/>
      <c r="DG3" s="644"/>
      <c r="DH3" s="644"/>
      <c r="DI3" s="644"/>
      <c r="DJ3" s="644"/>
      <c r="DK3" s="644"/>
      <c r="DL3" s="644"/>
      <c r="DM3" s="644"/>
      <c r="DN3" s="644"/>
      <c r="DO3" s="644"/>
      <c r="DP3" s="644"/>
      <c r="DQ3" s="644"/>
      <c r="DR3" s="644"/>
      <c r="DS3" s="644"/>
      <c r="DT3" s="644"/>
      <c r="DU3" s="644"/>
      <c r="DV3" s="644"/>
      <c r="DW3" s="644"/>
      <c r="DX3" s="644"/>
      <c r="DY3" s="644"/>
      <c r="DZ3" s="644"/>
      <c r="EA3" s="644"/>
      <c r="EB3" s="644"/>
      <c r="EC3" s="245"/>
      <c r="ED3" s="245"/>
      <c r="EE3" s="245"/>
      <c r="EF3" s="245"/>
      <c r="EG3" s="245"/>
      <c r="EH3" s="245"/>
      <c r="EI3" s="245"/>
      <c r="EJ3" s="245"/>
      <c r="EK3" s="245"/>
      <c r="EL3" s="245"/>
      <c r="EM3" s="245"/>
      <c r="EN3" s="245"/>
      <c r="EO3" s="245"/>
      <c r="EP3" s="245"/>
      <c r="EQ3" s="245"/>
      <c r="ER3" s="245"/>
      <c r="ES3" s="245"/>
      <c r="ET3" s="245"/>
      <c r="EU3" s="245"/>
      <c r="EV3" s="245"/>
      <c r="EW3" s="245"/>
      <c r="EX3" s="245"/>
      <c r="EY3" s="245"/>
      <c r="EZ3" s="245"/>
      <c r="FA3" s="245"/>
      <c r="FB3" s="245"/>
      <c r="FC3" s="245"/>
      <c r="FD3" s="245"/>
      <c r="FE3" s="245"/>
      <c r="FF3" s="245"/>
      <c r="FG3" s="245"/>
      <c r="FH3" s="245"/>
      <c r="FI3" s="245"/>
      <c r="FJ3" s="245"/>
      <c r="FK3" s="245"/>
      <c r="FL3" s="245"/>
      <c r="FM3" s="245"/>
      <c r="FN3" s="245"/>
      <c r="FO3" s="245"/>
      <c r="FP3" s="245"/>
      <c r="FQ3" s="245"/>
      <c r="FR3" s="245"/>
      <c r="FS3" s="245"/>
      <c r="FT3" s="245"/>
      <c r="FU3" s="245"/>
      <c r="FV3" s="245"/>
    </row>
    <row r="4" spans="1:178">
      <c r="A4" s="1026"/>
      <c r="B4" s="639" t="s">
        <v>303</v>
      </c>
      <c r="C4" s="640" t="s">
        <v>142</v>
      </c>
      <c r="D4" s="640"/>
      <c r="E4" s="245" t="s">
        <v>348</v>
      </c>
      <c r="F4" s="641" t="s">
        <v>304</v>
      </c>
      <c r="G4" s="641">
        <v>49114.0222634565</v>
      </c>
      <c r="H4" s="641">
        <v>38720.781829679996</v>
      </c>
      <c r="I4" s="641">
        <v>37409.691468650999</v>
      </c>
      <c r="J4" s="641">
        <v>30540.439970405001</v>
      </c>
      <c r="K4" s="641">
        <v>31156.107426096001</v>
      </c>
      <c r="L4" s="641">
        <v>30073.099605308002</v>
      </c>
      <c r="M4" s="641">
        <v>30845.757435424002</v>
      </c>
      <c r="N4" s="641">
        <v>31687.697930225004</v>
      </c>
      <c r="O4" s="641">
        <v>29379.747895740002</v>
      </c>
      <c r="P4" s="641">
        <v>28296.217956442502</v>
      </c>
      <c r="Q4" s="641">
        <v>27237.080130880004</v>
      </c>
      <c r="R4" s="641">
        <v>23892.252103007999</v>
      </c>
      <c r="S4" s="642">
        <v>24842.812105361998</v>
      </c>
      <c r="T4" s="642">
        <v>30106.891295556001</v>
      </c>
      <c r="U4" s="642">
        <v>33060.925121352499</v>
      </c>
      <c r="V4" s="642">
        <v>27538</v>
      </c>
      <c r="W4" s="642">
        <v>22486</v>
      </c>
      <c r="X4" s="642">
        <v>22318</v>
      </c>
      <c r="Y4" s="642">
        <v>24367</v>
      </c>
      <c r="Z4" s="642">
        <v>26626</v>
      </c>
      <c r="AA4" s="642">
        <v>25670</v>
      </c>
      <c r="AB4" s="642">
        <v>21731</v>
      </c>
      <c r="AC4" s="642">
        <v>20316</v>
      </c>
      <c r="AD4" s="642">
        <v>22355</v>
      </c>
      <c r="AE4" s="642">
        <v>25834</v>
      </c>
      <c r="AF4" s="642">
        <v>31223</v>
      </c>
      <c r="AG4" s="642">
        <v>29781</v>
      </c>
      <c r="AH4" s="642">
        <v>35242</v>
      </c>
      <c r="AI4" s="642">
        <v>41983</v>
      </c>
      <c r="AJ4" s="642">
        <v>41252</v>
      </c>
      <c r="AK4" s="642">
        <v>33014</v>
      </c>
      <c r="AL4" s="642">
        <v>26278</v>
      </c>
      <c r="AM4" s="642">
        <v>26288</v>
      </c>
      <c r="AN4" s="642">
        <v>24567</v>
      </c>
      <c r="AO4" s="642">
        <v>30788</v>
      </c>
      <c r="AP4" s="642">
        <v>33730</v>
      </c>
      <c r="AQ4" s="642">
        <v>39430</v>
      </c>
      <c r="AR4" s="642">
        <v>39325</v>
      </c>
      <c r="AS4" s="642">
        <v>38237</v>
      </c>
      <c r="AT4" s="643">
        <v>37934.865946679616</v>
      </c>
      <c r="AU4" s="642">
        <v>33977.640442957862</v>
      </c>
      <c r="AV4" s="642">
        <v>31621.932879798373</v>
      </c>
      <c r="AW4" s="642">
        <v>32245.619069523007</v>
      </c>
      <c r="AX4" s="642">
        <v>35684.70245863789</v>
      </c>
      <c r="AY4" s="642">
        <v>39729.847125147098</v>
      </c>
      <c r="AZ4" s="642">
        <v>40952.16644234657</v>
      </c>
      <c r="BA4" s="642">
        <v>43265.008516764698</v>
      </c>
      <c r="BB4" s="642">
        <v>47988.175639430039</v>
      </c>
      <c r="BC4" s="642">
        <v>50433.177687914897</v>
      </c>
      <c r="BD4" s="642">
        <v>39526.941750297483</v>
      </c>
      <c r="BE4" s="642">
        <v>30706.727022092222</v>
      </c>
      <c r="BF4" s="642">
        <v>31116.496307792124</v>
      </c>
      <c r="BG4" s="642">
        <v>35009.966798561858</v>
      </c>
      <c r="BH4" s="642">
        <v>37788.034281404027</v>
      </c>
      <c r="BI4" s="642">
        <v>38867.056236388496</v>
      </c>
      <c r="BJ4" s="642">
        <v>38678.266268318395</v>
      </c>
      <c r="BK4" s="642">
        <v>30138.909034848981</v>
      </c>
      <c r="BL4" s="642">
        <v>25548.609383721534</v>
      </c>
      <c r="BM4" s="642">
        <v>26760.845915432019</v>
      </c>
      <c r="BN4" s="642">
        <v>26872.996097798805</v>
      </c>
      <c r="BO4" s="642">
        <v>32318.693176917925</v>
      </c>
      <c r="BP4" s="642">
        <v>33253.389942674119</v>
      </c>
      <c r="BQ4" s="642">
        <v>33880.879188109247</v>
      </c>
      <c r="BR4" s="642">
        <v>44015.264630194491</v>
      </c>
      <c r="BS4" s="642">
        <v>40776.774414982094</v>
      </c>
      <c r="BT4" s="642">
        <v>37265.269327664537</v>
      </c>
      <c r="BU4" s="642">
        <v>19125.668604651164</v>
      </c>
      <c r="BV4" s="642">
        <v>26903.941500000001</v>
      </c>
      <c r="BW4" s="642">
        <v>26159.661614028053</v>
      </c>
      <c r="BX4" s="642">
        <v>26674.737698603414</v>
      </c>
      <c r="BY4" s="642">
        <v>26951.072804257299</v>
      </c>
      <c r="BZ4" s="642">
        <v>27292.749632570878</v>
      </c>
      <c r="CA4" s="642">
        <v>29207.059319259082</v>
      </c>
      <c r="CB4" s="642">
        <v>34185.03825123742</v>
      </c>
      <c r="CC4" s="642">
        <v>35409.408776058146</v>
      </c>
      <c r="CD4" s="642">
        <v>40548.590675430503</v>
      </c>
      <c r="CE4" s="642">
        <v>44551.491526971819</v>
      </c>
      <c r="CF4" s="642">
        <v>45328.551547510528</v>
      </c>
      <c r="CG4" s="642">
        <v>41304.84915769448</v>
      </c>
      <c r="CH4" s="642">
        <v>36449.953636561011</v>
      </c>
      <c r="CI4" s="642">
        <v>40423.343654069329</v>
      </c>
      <c r="CJ4" s="642">
        <v>48277.23010084885</v>
      </c>
      <c r="CK4" s="642">
        <v>50779.51102849115</v>
      </c>
      <c r="CL4" s="641">
        <v>51112.515377978409</v>
      </c>
      <c r="CM4" s="642">
        <f t="shared" si="0"/>
        <v>33497.454231311982</v>
      </c>
      <c r="CN4" s="644" t="s">
        <v>167</v>
      </c>
      <c r="CO4" s="645">
        <f>'[9]Cracker Yields'!H15</f>
        <v>0.98795180722891562</v>
      </c>
      <c r="CP4" s="645">
        <f>'[9]Cracker Yields'!I15</f>
        <v>0.65714285714285725</v>
      </c>
      <c r="CQ4" s="645">
        <f>'[9]Cracker Yields'!J15</f>
        <v>0.57894736842105254</v>
      </c>
      <c r="CR4" s="645">
        <f>'[9]Cracker Yields'!K15</f>
        <v>0.57894736842105254</v>
      </c>
      <c r="CS4" s="644"/>
      <c r="CT4" s="644"/>
      <c r="CU4" s="644"/>
      <c r="CV4" s="644"/>
      <c r="CW4" s="644"/>
      <c r="DB4" s="644"/>
      <c r="DC4" s="644"/>
      <c r="DD4" s="644"/>
      <c r="DE4" s="644"/>
      <c r="DF4" s="644"/>
      <c r="DG4" s="644"/>
      <c r="DH4" s="644"/>
      <c r="DI4" s="644"/>
      <c r="DJ4" s="644"/>
      <c r="DK4" s="644"/>
      <c r="DL4" s="644"/>
      <c r="DM4" s="644"/>
      <c r="DN4" s="644"/>
      <c r="DO4" s="644"/>
      <c r="DP4" s="644"/>
      <c r="DQ4" s="644"/>
      <c r="DR4" s="644"/>
      <c r="DS4" s="644"/>
      <c r="DT4" s="644"/>
      <c r="DU4" s="644"/>
      <c r="DV4" s="644"/>
      <c r="DW4" s="644"/>
      <c r="DX4" s="644"/>
      <c r="DY4" s="644"/>
      <c r="DZ4" s="644"/>
      <c r="EA4" s="644"/>
      <c r="EB4" s="644"/>
      <c r="EC4" s="245"/>
      <c r="ED4" s="245"/>
      <c r="EE4" s="245"/>
      <c r="EF4" s="245"/>
      <c r="EG4" s="245"/>
      <c r="EH4" s="245"/>
      <c r="EI4" s="245"/>
      <c r="EJ4" s="245"/>
      <c r="EK4" s="245"/>
      <c r="EL4" s="245"/>
      <c r="EM4" s="245"/>
      <c r="EN4" s="245"/>
      <c r="EO4" s="245"/>
      <c r="EP4" s="245"/>
      <c r="EQ4" s="245"/>
      <c r="ER4" s="245"/>
      <c r="ES4" s="245"/>
      <c r="ET4" s="245"/>
      <c r="EU4" s="245"/>
      <c r="EV4" s="245"/>
      <c r="EW4" s="245"/>
      <c r="EX4" s="245"/>
      <c r="EY4" s="245"/>
      <c r="EZ4" s="245"/>
      <c r="FA4" s="245"/>
      <c r="FB4" s="245"/>
      <c r="FC4" s="245"/>
      <c r="FD4" s="245"/>
      <c r="FE4" s="245"/>
      <c r="FF4" s="245"/>
      <c r="FG4" s="245"/>
      <c r="FH4" s="245"/>
      <c r="FI4" s="245"/>
      <c r="FJ4" s="245"/>
      <c r="FK4" s="245"/>
      <c r="FL4" s="245"/>
      <c r="FM4" s="245"/>
      <c r="FN4" s="245"/>
      <c r="FO4" s="245"/>
      <c r="FP4" s="245"/>
      <c r="FQ4" s="245"/>
      <c r="FR4" s="245"/>
      <c r="FS4" s="245"/>
      <c r="FT4" s="245"/>
      <c r="FU4" s="245"/>
      <c r="FV4" s="245"/>
    </row>
    <row r="5" spans="1:178">
      <c r="A5" s="1026"/>
      <c r="B5" s="639" t="s">
        <v>303</v>
      </c>
      <c r="C5" s="640" t="s">
        <v>142</v>
      </c>
      <c r="D5" s="640"/>
      <c r="E5" s="245" t="s">
        <v>348</v>
      </c>
      <c r="F5" s="641" t="s">
        <v>1</v>
      </c>
      <c r="G5" s="641">
        <v>67392.609457049111</v>
      </c>
      <c r="H5" s="641">
        <v>60605.079353133209</v>
      </c>
      <c r="I5" s="641">
        <v>48172.078488951513</v>
      </c>
      <c r="J5" s="641">
        <v>37864.497597380359</v>
      </c>
      <c r="K5" s="641">
        <v>47879.351819021838</v>
      </c>
      <c r="L5" s="641">
        <v>47653.203449015826</v>
      </c>
      <c r="M5" s="641">
        <v>50245.90983408309</v>
      </c>
      <c r="N5" s="641">
        <v>53682.476058591848</v>
      </c>
      <c r="O5" s="641">
        <v>52101.108070066402</v>
      </c>
      <c r="P5" s="641">
        <v>44833.642535967861</v>
      </c>
      <c r="Q5" s="641">
        <v>39799.319113601872</v>
      </c>
      <c r="R5" s="641">
        <v>42427.967582583653</v>
      </c>
      <c r="S5" s="642">
        <v>43936.187561656916</v>
      </c>
      <c r="T5" s="642">
        <v>44286.265804363771</v>
      </c>
      <c r="U5" s="642">
        <v>40835.877834148712</v>
      </c>
      <c r="V5" s="642">
        <v>33128.389556039998</v>
      </c>
      <c r="W5" s="642">
        <v>31571.465730678945</v>
      </c>
      <c r="X5" s="642">
        <v>35742.866320322726</v>
      </c>
      <c r="Y5" s="642">
        <v>38723.340516723809</v>
      </c>
      <c r="Z5" s="642">
        <v>40818.726320639995</v>
      </c>
      <c r="AA5" s="642">
        <v>42322.736095131819</v>
      </c>
      <c r="AB5" s="642">
        <v>38558.96795636</v>
      </c>
      <c r="AC5" s="642">
        <v>37038.594996836364</v>
      </c>
      <c r="AD5" s="642">
        <v>39477.72624435</v>
      </c>
      <c r="AE5" s="642">
        <v>44184.909717449525</v>
      </c>
      <c r="AF5" s="642">
        <v>43790.926158518181</v>
      </c>
      <c r="AG5" s="642">
        <v>48363.720047673807</v>
      </c>
      <c r="AH5" s="642">
        <v>52020.136714039996</v>
      </c>
      <c r="AI5" s="642">
        <v>51754.411170050007</v>
      </c>
      <c r="AJ5" s="642">
        <v>45823.307070771734</v>
      </c>
      <c r="AK5" s="642">
        <v>46193.531558326315</v>
      </c>
      <c r="AL5" s="642">
        <v>43002.461390778575</v>
      </c>
      <c r="AM5" s="642">
        <v>39761.120563964279</v>
      </c>
      <c r="AN5" s="642">
        <v>40814.031903535237</v>
      </c>
      <c r="AO5" s="642">
        <v>44455.573294022724</v>
      </c>
      <c r="AP5" s="642">
        <v>48989.345300000001</v>
      </c>
      <c r="AQ5" s="642">
        <v>51532.233811542857</v>
      </c>
      <c r="AR5" s="642">
        <v>57244.271480659088</v>
      </c>
      <c r="AS5" s="642">
        <v>56975.474865600001</v>
      </c>
      <c r="AT5" s="643">
        <v>37468.917824886834</v>
      </c>
      <c r="AU5" s="642">
        <v>34979.7952647251</v>
      </c>
      <c r="AV5" s="642">
        <v>36995.226789598193</v>
      </c>
      <c r="AW5" s="642">
        <v>38411.434700802383</v>
      </c>
      <c r="AX5" s="642">
        <v>43077.696672195132</v>
      </c>
      <c r="AY5" s="642">
        <v>42339.113972658684</v>
      </c>
      <c r="AZ5" s="642">
        <v>44176.800315880733</v>
      </c>
      <c r="BA5" s="642">
        <v>45449.873001355765</v>
      </c>
      <c r="BB5" s="642">
        <v>48374.835244225556</v>
      </c>
      <c r="BC5" s="642">
        <v>49736.488507928807</v>
      </c>
      <c r="BD5" s="642">
        <v>36558.702058330193</v>
      </c>
      <c r="BE5" s="642">
        <v>31387.522192377604</v>
      </c>
      <c r="BF5" s="642">
        <v>31954.700264411553</v>
      </c>
      <c r="BG5" s="642">
        <v>35488.590056570771</v>
      </c>
      <c r="BH5" s="642">
        <v>37151.720463657031</v>
      </c>
      <c r="BI5" s="642">
        <v>40224.487971509581</v>
      </c>
      <c r="BJ5" s="642">
        <v>39776.808056372938</v>
      </c>
      <c r="BK5" s="642">
        <v>32806.091323106572</v>
      </c>
      <c r="BL5" s="642">
        <v>34852.034397102398</v>
      </c>
      <c r="BM5" s="642">
        <v>32743.412011815777</v>
      </c>
      <c r="BN5" s="642">
        <v>33941.49447086802</v>
      </c>
      <c r="BO5" s="642">
        <v>36161.070807658274</v>
      </c>
      <c r="BP5" s="642">
        <v>36208.29768815585</v>
      </c>
      <c r="BQ5" s="642">
        <v>39212.402929615775</v>
      </c>
      <c r="BR5" s="642">
        <v>38005.50999905145</v>
      </c>
      <c r="BS5" s="642">
        <v>33948.919195272174</v>
      </c>
      <c r="BT5" s="642">
        <v>21830.230520384102</v>
      </c>
      <c r="BU5" s="642">
        <v>41618.000025444984</v>
      </c>
      <c r="BV5" s="642">
        <v>36293.110003071568</v>
      </c>
      <c r="BW5" s="642">
        <v>40230.560009202418</v>
      </c>
      <c r="BX5" s="642">
        <v>28984.506728422391</v>
      </c>
      <c r="BY5" s="642">
        <v>29296.224637839514</v>
      </c>
      <c r="BZ5" s="642">
        <v>28071.268352741423</v>
      </c>
      <c r="CA5" s="642">
        <v>23219.340304109319</v>
      </c>
      <c r="CB5" s="642">
        <v>27680.138169883663</v>
      </c>
      <c r="CC5" s="642">
        <v>31896.526510107997</v>
      </c>
      <c r="CD5" s="642">
        <v>36352.617012931434</v>
      </c>
      <c r="CE5" s="642">
        <v>40134.773482798308</v>
      </c>
      <c r="CF5" s="642">
        <v>42943.647213612938</v>
      </c>
      <c r="CG5" s="642">
        <v>41061.486307385807</v>
      </c>
      <c r="CH5" s="642">
        <v>43266.069260132143</v>
      </c>
      <c r="CI5" s="642">
        <v>46764.427300723</v>
      </c>
      <c r="CJ5" s="642">
        <v>49848.163616800543</v>
      </c>
      <c r="CK5" s="642">
        <v>47958.871071535585</v>
      </c>
      <c r="CL5" s="641">
        <v>49198.016422217115</v>
      </c>
      <c r="CM5" s="642">
        <f t="shared" si="0"/>
        <v>41334.330553251282</v>
      </c>
      <c r="CN5" s="644" t="s">
        <v>168</v>
      </c>
      <c r="CO5" s="645">
        <f>'[9]Cracker Yields'!H16</f>
        <v>1.2048192771084376E-2</v>
      </c>
      <c r="CP5" s="645">
        <f>'[9]Cracker Yields'!I16</f>
        <v>0.34285714285714275</v>
      </c>
      <c r="CQ5" s="645">
        <f>'[9]Cracker Yields'!J16</f>
        <v>0.42105263157894746</v>
      </c>
      <c r="CR5" s="645">
        <f>'[9]Cracker Yields'!K16</f>
        <v>0.42105263157894746</v>
      </c>
      <c r="CS5" s="644"/>
      <c r="CT5" s="644"/>
      <c r="CU5" s="644"/>
      <c r="CV5" s="644"/>
      <c r="CW5" s="644"/>
      <c r="DB5" s="644"/>
      <c r="DC5" s="644"/>
      <c r="DD5" s="644"/>
      <c r="DE5" s="644"/>
      <c r="DF5" s="644"/>
      <c r="DG5" s="644"/>
      <c r="DH5" s="644"/>
      <c r="DI5" s="644"/>
      <c r="DJ5" s="644"/>
      <c r="DK5" s="644"/>
      <c r="DL5" s="644"/>
      <c r="DM5" s="644"/>
      <c r="DN5" s="644"/>
      <c r="DO5" s="644"/>
      <c r="DP5" s="644"/>
      <c r="DQ5" s="644"/>
      <c r="DR5" s="644"/>
      <c r="DS5" s="644"/>
      <c r="DT5" s="644"/>
      <c r="DU5" s="644"/>
      <c r="DV5" s="644"/>
      <c r="DW5" s="644"/>
      <c r="DX5" s="644"/>
      <c r="DY5" s="644"/>
      <c r="DZ5" s="644"/>
      <c r="EA5" s="644"/>
      <c r="EB5" s="644"/>
      <c r="EC5" s="646">
        <v>52.32</v>
      </c>
      <c r="ED5" s="644"/>
      <c r="EE5" s="644"/>
      <c r="EF5" s="644"/>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row>
    <row r="6" spans="1:178">
      <c r="A6" s="1027"/>
      <c r="B6" s="647" t="s">
        <v>305</v>
      </c>
      <c r="C6" s="648" t="s">
        <v>306</v>
      </c>
      <c r="D6" s="648"/>
      <c r="E6" s="649" t="s">
        <v>348</v>
      </c>
      <c r="F6" s="650" t="s">
        <v>307</v>
      </c>
      <c r="G6" s="650">
        <v>690</v>
      </c>
      <c r="H6" s="650">
        <v>680</v>
      </c>
      <c r="I6" s="650">
        <v>640</v>
      </c>
      <c r="J6" s="650">
        <v>620</v>
      </c>
      <c r="K6" s="650">
        <v>595</v>
      </c>
      <c r="L6" s="650">
        <v>614</v>
      </c>
      <c r="M6" s="650">
        <v>602</v>
      </c>
      <c r="N6" s="650">
        <v>591</v>
      </c>
      <c r="O6" s="650">
        <v>582</v>
      </c>
      <c r="P6" s="650">
        <v>564</v>
      </c>
      <c r="Q6" s="650">
        <v>577</v>
      </c>
      <c r="R6" s="650">
        <v>544</v>
      </c>
      <c r="S6" s="642">
        <v>549</v>
      </c>
      <c r="T6" s="651">
        <v>562</v>
      </c>
      <c r="U6" s="651">
        <v>575</v>
      </c>
      <c r="V6" s="642">
        <v>588</v>
      </c>
      <c r="W6" s="651">
        <v>600</v>
      </c>
      <c r="X6" s="651">
        <v>614</v>
      </c>
      <c r="Y6" s="651">
        <v>628</v>
      </c>
      <c r="Z6" s="651">
        <v>638</v>
      </c>
      <c r="AA6" s="651">
        <v>651</v>
      </c>
      <c r="AB6" s="651">
        <v>664</v>
      </c>
      <c r="AC6" s="651">
        <v>677</v>
      </c>
      <c r="AD6" s="642">
        <v>689</v>
      </c>
      <c r="AE6" s="651">
        <v>602</v>
      </c>
      <c r="AF6" s="651">
        <v>615</v>
      </c>
      <c r="AG6" s="651">
        <v>628</v>
      </c>
      <c r="AH6" s="642">
        <v>640</v>
      </c>
      <c r="AI6" s="651">
        <v>654</v>
      </c>
      <c r="AJ6" s="651">
        <v>644</v>
      </c>
      <c r="AK6" s="651">
        <v>679</v>
      </c>
      <c r="AL6" s="651">
        <v>691</v>
      </c>
      <c r="AM6" s="651">
        <v>704</v>
      </c>
      <c r="AN6" s="651">
        <v>717</v>
      </c>
      <c r="AO6" s="651">
        <v>629.54360858123698</v>
      </c>
      <c r="AP6" s="651">
        <v>642.28255936563301</v>
      </c>
      <c r="AQ6" s="651">
        <v>655.02151015003005</v>
      </c>
      <c r="AR6" s="651">
        <v>667.76046093442596</v>
      </c>
      <c r="AS6" s="651">
        <v>680.49941171882301</v>
      </c>
      <c r="AT6" s="651">
        <v>693.23836250321904</v>
      </c>
      <c r="AU6" s="651">
        <v>725</v>
      </c>
      <c r="AV6" s="651">
        <v>731</v>
      </c>
      <c r="AW6" s="651">
        <v>683.35192411641094</v>
      </c>
      <c r="AX6" s="651">
        <v>727.45879248730159</v>
      </c>
      <c r="AY6" s="651">
        <v>790.46535767833188</v>
      </c>
      <c r="AZ6" s="651">
        <v>835.82228336641663</v>
      </c>
      <c r="BA6" s="651">
        <v>855.64779771974872</v>
      </c>
      <c r="BB6" s="651">
        <v>831.01152604586082</v>
      </c>
      <c r="BC6" s="651">
        <v>894.32305357357711</v>
      </c>
      <c r="BD6" s="651">
        <v>848.00352710543211</v>
      </c>
      <c r="BE6" s="651">
        <v>762.53950609685091</v>
      </c>
      <c r="BF6" s="651">
        <v>747.97322905859232</v>
      </c>
      <c r="BG6" s="651">
        <v>816.24945468112071</v>
      </c>
      <c r="BH6" s="651">
        <v>713.84568622483982</v>
      </c>
      <c r="BI6" s="651">
        <v>547.77</v>
      </c>
      <c r="BJ6" s="651">
        <v>505.25</v>
      </c>
      <c r="BK6" s="651">
        <v>522.21</v>
      </c>
      <c r="BL6" s="651">
        <v>559.08000000000004</v>
      </c>
      <c r="BM6" s="651">
        <v>496.47</v>
      </c>
      <c r="BN6" s="651">
        <v>463.19</v>
      </c>
      <c r="BO6" s="651">
        <v>620.35</v>
      </c>
      <c r="BP6" s="651">
        <v>540.62</v>
      </c>
      <c r="BQ6" s="651">
        <v>605.28</v>
      </c>
      <c r="BR6" s="651">
        <v>485.79</v>
      </c>
      <c r="BS6" s="651">
        <v>478.65</v>
      </c>
      <c r="BT6" s="651">
        <v>313.06</v>
      </c>
      <c r="BU6" s="651">
        <v>546.95000000000005</v>
      </c>
      <c r="BV6" s="651">
        <v>498.46</v>
      </c>
      <c r="BW6" s="651">
        <v>285.66000000000003</v>
      </c>
      <c r="BX6" s="651">
        <v>264.85000000000002</v>
      </c>
      <c r="BY6" s="651">
        <v>334.58</v>
      </c>
      <c r="BZ6" s="651">
        <v>410.09</v>
      </c>
      <c r="CA6" s="651">
        <v>471.71</v>
      </c>
      <c r="CB6" s="651">
        <v>532.29999999999995</v>
      </c>
      <c r="CC6" s="651">
        <v>588.39</v>
      </c>
      <c r="CD6" s="651">
        <v>675.69</v>
      </c>
      <c r="CE6" s="651">
        <v>872.05</v>
      </c>
      <c r="CF6" s="651">
        <v>766.06</v>
      </c>
      <c r="CG6" s="651">
        <v>565.04999999999995</v>
      </c>
      <c r="CH6" s="651">
        <v>567.25</v>
      </c>
      <c r="CI6" s="651">
        <v>619.33000000000004</v>
      </c>
      <c r="CJ6" s="651">
        <v>708.17</v>
      </c>
      <c r="CK6" s="651">
        <v>868.98</v>
      </c>
      <c r="CL6" s="652">
        <v>938.53</v>
      </c>
      <c r="CM6" s="642">
        <f t="shared" si="0"/>
        <v>629.65307204056967</v>
      </c>
      <c r="CN6" s="245"/>
      <c r="CO6" s="245"/>
      <c r="CP6" s="245"/>
      <c r="CQ6" s="245"/>
      <c r="CR6" s="245"/>
      <c r="CS6" s="245"/>
      <c r="CT6" s="245"/>
      <c r="CU6" s="245"/>
      <c r="CV6" s="245"/>
      <c r="CW6" s="245"/>
      <c r="CX6" s="245"/>
      <c r="CY6" s="245"/>
      <c r="CZ6" s="245"/>
      <c r="DA6" s="245"/>
      <c r="DB6" s="245"/>
      <c r="DC6" s="245"/>
      <c r="DD6" s="245"/>
      <c r="DE6" s="245"/>
      <c r="DF6" s="245"/>
      <c r="DG6" s="245"/>
      <c r="DH6" s="245"/>
      <c r="DI6" s="245"/>
      <c r="DJ6" s="245"/>
      <c r="DK6" s="245"/>
      <c r="DL6" s="245"/>
      <c r="DM6" s="245"/>
      <c r="DN6" s="245"/>
      <c r="DO6" s="245"/>
      <c r="DP6" s="245"/>
      <c r="DQ6" s="245"/>
      <c r="DR6" s="245"/>
      <c r="DS6" s="245"/>
      <c r="DT6" s="245"/>
      <c r="DU6" s="245"/>
      <c r="DV6" s="245"/>
      <c r="DW6" s="245"/>
      <c r="DX6" s="245"/>
      <c r="DY6" s="245"/>
      <c r="DZ6" s="245"/>
      <c r="EA6" s="245"/>
      <c r="EB6" s="245"/>
      <c r="EC6" s="245"/>
      <c r="ED6" s="245"/>
      <c r="EE6" s="245"/>
      <c r="EF6" s="245"/>
      <c r="EG6" s="245"/>
      <c r="EH6" s="245"/>
      <c r="EI6" s="245"/>
      <c r="EJ6" s="245"/>
      <c r="EK6" s="245"/>
      <c r="EL6" s="245"/>
      <c r="EM6" s="245"/>
      <c r="EN6" s="245"/>
      <c r="EO6" s="245"/>
      <c r="EP6" s="245"/>
      <c r="EQ6" s="245"/>
      <c r="ER6" s="245"/>
      <c r="ES6" s="245"/>
      <c r="ET6" s="245"/>
      <c r="EU6" s="245"/>
      <c r="EV6" s="245"/>
      <c r="EW6" s="245"/>
      <c r="EX6" s="245"/>
      <c r="EY6" s="245"/>
      <c r="EZ6" s="245"/>
      <c r="FA6" s="245"/>
      <c r="FB6" s="245"/>
      <c r="FC6" s="245"/>
      <c r="FD6" s="245"/>
      <c r="FE6" s="245"/>
      <c r="FF6" s="245"/>
      <c r="FG6" s="245"/>
      <c r="FH6" s="245"/>
      <c r="FI6" s="245"/>
      <c r="FJ6" s="245"/>
      <c r="FK6" s="245"/>
      <c r="FL6" s="245"/>
      <c r="FM6" s="245"/>
      <c r="FN6" s="245"/>
      <c r="FO6" s="245"/>
      <c r="FP6" s="245"/>
      <c r="FQ6" s="245"/>
      <c r="FR6" s="245"/>
      <c r="FS6" s="245"/>
      <c r="FT6" s="245"/>
      <c r="FU6" s="245"/>
      <c r="FV6" s="245"/>
    </row>
    <row r="7" spans="1:178">
      <c r="A7" s="1033" t="s">
        <v>308</v>
      </c>
      <c r="B7" s="632" t="s">
        <v>305</v>
      </c>
      <c r="C7" s="633" t="s">
        <v>142</v>
      </c>
      <c r="D7" s="633"/>
      <c r="E7" s="653" t="s">
        <v>348</v>
      </c>
      <c r="F7" s="654" t="s">
        <v>137</v>
      </c>
      <c r="G7" s="655">
        <v>56500</v>
      </c>
      <c r="H7" s="655">
        <v>56300</v>
      </c>
      <c r="I7" s="655">
        <v>56100</v>
      </c>
      <c r="J7" s="655">
        <v>55900</v>
      </c>
      <c r="K7" s="655">
        <v>55800</v>
      </c>
      <c r="L7" s="655">
        <v>55600</v>
      </c>
      <c r="M7" s="655">
        <v>55200</v>
      </c>
      <c r="N7" s="655">
        <v>57300</v>
      </c>
      <c r="O7" s="655">
        <v>54100</v>
      </c>
      <c r="P7" s="654">
        <v>55200</v>
      </c>
      <c r="Q7" s="654">
        <v>52300</v>
      </c>
      <c r="R7" s="656">
        <v>45600</v>
      </c>
      <c r="S7" s="655">
        <v>47020</v>
      </c>
      <c r="T7" s="656">
        <v>45750</v>
      </c>
      <c r="U7" s="657">
        <v>46150</v>
      </c>
      <c r="V7" s="655">
        <v>45650</v>
      </c>
      <c r="W7" s="656">
        <v>36940</v>
      </c>
      <c r="X7" s="655">
        <v>36950</v>
      </c>
      <c r="Y7" s="658">
        <v>37390</v>
      </c>
      <c r="Z7" s="655">
        <v>37950</v>
      </c>
      <c r="AA7" s="655">
        <v>38680</v>
      </c>
      <c r="AB7" s="658">
        <v>39250</v>
      </c>
      <c r="AC7" s="657">
        <v>39610</v>
      </c>
      <c r="AD7" s="655">
        <v>39920</v>
      </c>
      <c r="AE7" s="658">
        <v>39990</v>
      </c>
      <c r="AF7" s="655">
        <v>40250</v>
      </c>
      <c r="AG7" s="657">
        <v>41270</v>
      </c>
      <c r="AH7" s="655">
        <v>42350</v>
      </c>
      <c r="AI7" s="656">
        <v>57680</v>
      </c>
      <c r="AJ7" s="655">
        <v>60070</v>
      </c>
      <c r="AK7" s="655">
        <v>58600</v>
      </c>
      <c r="AL7" s="655">
        <v>56250</v>
      </c>
      <c r="AM7" s="655">
        <v>54760</v>
      </c>
      <c r="AN7" s="655">
        <v>53400</v>
      </c>
      <c r="AO7" s="655">
        <v>52470</v>
      </c>
      <c r="AP7" s="655">
        <v>51630</v>
      </c>
      <c r="AQ7" s="655">
        <v>52140</v>
      </c>
      <c r="AR7" s="655">
        <v>52030</v>
      </c>
      <c r="AS7" s="655">
        <v>51990</v>
      </c>
      <c r="AT7" s="659">
        <v>57152</v>
      </c>
      <c r="AU7" s="655">
        <v>58526</v>
      </c>
      <c r="AV7" s="655">
        <v>58277</v>
      </c>
      <c r="AW7" s="655">
        <v>55909</v>
      </c>
      <c r="AX7" s="655">
        <v>55303</v>
      </c>
      <c r="AY7" s="655">
        <v>58424</v>
      </c>
      <c r="AZ7" s="655">
        <v>56706</v>
      </c>
      <c r="BA7" s="655">
        <v>57565</v>
      </c>
      <c r="BB7" s="655">
        <v>61481</v>
      </c>
      <c r="BC7" s="655">
        <v>61877</v>
      </c>
      <c r="BD7" s="655">
        <v>61367</v>
      </c>
      <c r="BE7" s="655">
        <v>49658</v>
      </c>
      <c r="BF7" s="655">
        <v>41296</v>
      </c>
      <c r="BG7" s="655">
        <v>39412</v>
      </c>
      <c r="BH7" s="655">
        <v>42670</v>
      </c>
      <c r="BI7" s="655">
        <v>42621</v>
      </c>
      <c r="BJ7" s="655">
        <v>43930</v>
      </c>
      <c r="BK7" s="655">
        <v>44300</v>
      </c>
      <c r="BL7" s="655">
        <v>44000</v>
      </c>
      <c r="BM7" s="655">
        <v>46900</v>
      </c>
      <c r="BN7" s="655">
        <v>48100</v>
      </c>
      <c r="BO7" s="655">
        <v>52100</v>
      </c>
      <c r="BP7" s="655">
        <v>48600</v>
      </c>
      <c r="BQ7" s="655">
        <v>47000</v>
      </c>
      <c r="BR7" s="655">
        <v>52400</v>
      </c>
      <c r="BS7" s="655">
        <v>52900</v>
      </c>
      <c r="BT7" s="655">
        <v>48400</v>
      </c>
      <c r="BU7" s="660">
        <v>37400</v>
      </c>
      <c r="BV7" s="660">
        <v>24900</v>
      </c>
      <c r="BW7" s="660">
        <v>30300</v>
      </c>
      <c r="BX7" s="660">
        <v>33900</v>
      </c>
      <c r="BY7" s="660">
        <v>33100</v>
      </c>
      <c r="BZ7" s="660">
        <v>34400</v>
      </c>
      <c r="CA7" s="660">
        <v>32600</v>
      </c>
      <c r="CB7" s="660">
        <v>32500</v>
      </c>
      <c r="CC7" s="660">
        <v>40800</v>
      </c>
      <c r="CD7" s="660">
        <v>47900</v>
      </c>
      <c r="CE7" s="660">
        <v>48900</v>
      </c>
      <c r="CF7" s="660">
        <v>57200</v>
      </c>
      <c r="CG7" s="660">
        <v>62200</v>
      </c>
      <c r="CH7" s="660">
        <v>70100</v>
      </c>
      <c r="CI7" s="660">
        <v>75100</v>
      </c>
      <c r="CJ7" s="660">
        <v>71430</v>
      </c>
      <c r="CK7" s="660">
        <v>78990</v>
      </c>
      <c r="CL7" s="661">
        <v>72940</v>
      </c>
      <c r="CM7" s="636">
        <f t="shared" si="0"/>
        <v>49804.452380952382</v>
      </c>
      <c r="CN7" s="245"/>
      <c r="CO7" s="245"/>
      <c r="CP7" s="245"/>
      <c r="CQ7" s="245"/>
      <c r="CR7" s="245"/>
      <c r="CS7" s="245"/>
      <c r="CT7" s="245"/>
      <c r="CU7" s="245"/>
      <c r="CV7" s="245"/>
      <c r="CW7" s="245"/>
      <c r="CX7" s="245"/>
      <c r="CY7" s="245"/>
      <c r="CZ7" s="245"/>
      <c r="DA7" s="245"/>
      <c r="DB7" s="245"/>
      <c r="DC7" s="245"/>
      <c r="DD7" s="245"/>
      <c r="DE7" s="245"/>
      <c r="DF7" s="245"/>
      <c r="DG7" s="245"/>
      <c r="DH7" s="245"/>
      <c r="DI7" s="245"/>
      <c r="DJ7" s="245"/>
      <c r="DK7" s="245"/>
      <c r="DL7" s="245"/>
      <c r="DM7" s="245"/>
      <c r="DN7" s="245"/>
      <c r="DO7" s="245"/>
      <c r="DP7" s="245"/>
      <c r="DQ7" s="245"/>
      <c r="DR7" s="245"/>
      <c r="DS7" s="245"/>
      <c r="DT7" s="245"/>
      <c r="DU7" s="245"/>
      <c r="DV7" s="245"/>
      <c r="DW7" s="245"/>
      <c r="DX7" s="245"/>
      <c r="DY7" s="245"/>
      <c r="DZ7" s="245"/>
      <c r="EA7" s="245"/>
      <c r="EB7" s="245"/>
      <c r="EC7" s="245"/>
      <c r="ED7" s="245"/>
      <c r="EE7" s="245"/>
      <c r="EF7" s="245"/>
      <c r="EG7" s="245"/>
      <c r="EH7" s="245"/>
      <c r="EI7" s="245"/>
      <c r="EJ7" s="245"/>
      <c r="EK7" s="245"/>
      <c r="EL7" s="245"/>
      <c r="EM7" s="245"/>
      <c r="EN7" s="245"/>
      <c r="EO7" s="245"/>
      <c r="EP7" s="245"/>
      <c r="EQ7" s="245"/>
      <c r="ER7" s="245"/>
      <c r="ES7" s="245"/>
      <c r="ET7" s="245"/>
      <c r="EU7" s="245"/>
      <c r="EV7" s="245"/>
      <c r="EW7" s="245"/>
      <c r="EX7" s="245"/>
      <c r="EY7" s="245"/>
      <c r="EZ7" s="245"/>
      <c r="FA7" s="245"/>
      <c r="FB7" s="245"/>
      <c r="FC7" s="245"/>
      <c r="FD7" s="245"/>
      <c r="FE7" s="245"/>
      <c r="FF7" s="245"/>
      <c r="FG7" s="245"/>
      <c r="FH7" s="245"/>
      <c r="FI7" s="245"/>
      <c r="FJ7" s="245"/>
      <c r="FK7" s="245"/>
      <c r="FL7" s="245"/>
      <c r="FM7" s="245"/>
      <c r="FN7" s="245"/>
      <c r="FO7" s="245"/>
      <c r="FP7" s="245"/>
      <c r="FQ7" s="245"/>
      <c r="FR7" s="245"/>
      <c r="FS7" s="245"/>
      <c r="FT7" s="245"/>
      <c r="FU7" s="245"/>
      <c r="FV7" s="245"/>
    </row>
    <row r="8" spans="1:178">
      <c r="A8" s="1034"/>
      <c r="B8" s="639" t="s">
        <v>305</v>
      </c>
      <c r="C8" s="640" t="s">
        <v>142</v>
      </c>
      <c r="D8" s="640"/>
      <c r="E8" s="662" t="s">
        <v>348</v>
      </c>
      <c r="F8" s="663" t="s">
        <v>403</v>
      </c>
      <c r="G8" s="658">
        <v>78900</v>
      </c>
      <c r="H8" s="658">
        <v>75500</v>
      </c>
      <c r="I8" s="658">
        <v>76300</v>
      </c>
      <c r="J8" s="658">
        <v>77300</v>
      </c>
      <c r="K8" s="658">
        <v>74500</v>
      </c>
      <c r="L8" s="658">
        <v>78800</v>
      </c>
      <c r="M8" s="658">
        <v>75500</v>
      </c>
      <c r="N8" s="658">
        <v>77200</v>
      </c>
      <c r="O8" s="658">
        <v>71900</v>
      </c>
      <c r="P8" s="663">
        <v>74600</v>
      </c>
      <c r="Q8" s="663">
        <v>72500</v>
      </c>
      <c r="R8" s="664">
        <v>70300</v>
      </c>
      <c r="S8" s="658">
        <v>69049</v>
      </c>
      <c r="T8" s="664">
        <v>68803</v>
      </c>
      <c r="U8" s="665">
        <v>60570</v>
      </c>
      <c r="V8" s="658">
        <v>69050</v>
      </c>
      <c r="W8" s="664">
        <v>64550</v>
      </c>
      <c r="X8" s="658">
        <v>64300</v>
      </c>
      <c r="Y8" s="658">
        <v>69051</v>
      </c>
      <c r="Z8" s="658">
        <v>64800</v>
      </c>
      <c r="AA8" s="658">
        <v>67700</v>
      </c>
      <c r="AB8" s="658">
        <v>69052</v>
      </c>
      <c r="AC8" s="665">
        <v>69405</v>
      </c>
      <c r="AD8" s="658">
        <v>63700</v>
      </c>
      <c r="AE8" s="658">
        <v>69053</v>
      </c>
      <c r="AF8" s="658">
        <v>62939</v>
      </c>
      <c r="AG8" s="665">
        <v>65350</v>
      </c>
      <c r="AH8" s="658">
        <v>69054</v>
      </c>
      <c r="AI8" s="664">
        <v>63700</v>
      </c>
      <c r="AJ8" s="658">
        <v>61750</v>
      </c>
      <c r="AK8" s="666">
        <v>69055</v>
      </c>
      <c r="AL8" s="658">
        <v>68800</v>
      </c>
      <c r="AM8" s="658">
        <v>63500</v>
      </c>
      <c r="AN8" s="666">
        <v>69056</v>
      </c>
      <c r="AO8" s="658">
        <v>64500</v>
      </c>
      <c r="AP8" s="658">
        <v>64580</v>
      </c>
      <c r="AQ8" s="666">
        <v>69057</v>
      </c>
      <c r="AR8" s="658">
        <v>62925</v>
      </c>
      <c r="AS8" s="658">
        <v>71158</v>
      </c>
      <c r="AT8" s="666">
        <v>69058</v>
      </c>
      <c r="AU8" s="658">
        <v>79391</v>
      </c>
      <c r="AV8" s="658">
        <v>87624</v>
      </c>
      <c r="AW8" s="658">
        <v>91678</v>
      </c>
      <c r="AX8" s="658">
        <v>90255</v>
      </c>
      <c r="AY8" s="658">
        <v>110428</v>
      </c>
      <c r="AZ8" s="658">
        <v>113142</v>
      </c>
      <c r="BA8" s="658">
        <v>109389</v>
      </c>
      <c r="BB8" s="658">
        <v>117818</v>
      </c>
      <c r="BC8" s="658">
        <v>104990</v>
      </c>
      <c r="BD8" s="658">
        <v>79612</v>
      </c>
      <c r="BE8" s="658">
        <v>76089</v>
      </c>
      <c r="BF8" s="658">
        <v>79660</v>
      </c>
      <c r="BG8" s="658">
        <v>80367</v>
      </c>
      <c r="BH8" s="658">
        <v>75404</v>
      </c>
      <c r="BI8" s="658">
        <v>71634</v>
      </c>
      <c r="BJ8" s="658">
        <v>63615</v>
      </c>
      <c r="BK8" s="658">
        <v>66900</v>
      </c>
      <c r="BL8" s="658">
        <v>74300</v>
      </c>
      <c r="BM8" s="658">
        <v>76800</v>
      </c>
      <c r="BN8" s="658">
        <v>85000</v>
      </c>
      <c r="BO8" s="658">
        <v>87600</v>
      </c>
      <c r="BP8" s="658">
        <v>81700</v>
      </c>
      <c r="BQ8" s="658">
        <v>62200</v>
      </c>
      <c r="BR8" s="658">
        <v>63400</v>
      </c>
      <c r="BS8" s="658">
        <v>65100</v>
      </c>
      <c r="BT8" s="658">
        <v>56000</v>
      </c>
      <c r="BU8" s="667">
        <v>50100</v>
      </c>
      <c r="BV8" s="667">
        <v>28400</v>
      </c>
      <c r="BW8" s="667">
        <v>21600</v>
      </c>
      <c r="BX8" s="667">
        <v>22700</v>
      </c>
      <c r="BY8" s="667">
        <v>28600</v>
      </c>
      <c r="BZ8" s="667">
        <v>40200</v>
      </c>
      <c r="CA8" s="667">
        <v>50700</v>
      </c>
      <c r="CB8" s="667">
        <v>66900</v>
      </c>
      <c r="CC8" s="667">
        <v>94800</v>
      </c>
      <c r="CD8" s="667">
        <v>86100</v>
      </c>
      <c r="CE8" s="667">
        <v>58900</v>
      </c>
      <c r="CF8" s="667">
        <v>57400</v>
      </c>
      <c r="CG8" s="667">
        <v>80900</v>
      </c>
      <c r="CH8" s="667">
        <v>72100</v>
      </c>
      <c r="CI8" s="667">
        <v>73600</v>
      </c>
      <c r="CJ8" s="667">
        <v>88040</v>
      </c>
      <c r="CK8" s="667">
        <v>107190</v>
      </c>
      <c r="CL8" s="668">
        <v>116560</v>
      </c>
      <c r="CM8" s="642">
        <f t="shared" si="0"/>
        <v>72163.702380952382</v>
      </c>
      <c r="CN8" s="245"/>
      <c r="CO8" s="245"/>
      <c r="CP8" s="245"/>
      <c r="CQ8" s="245"/>
      <c r="CR8" s="245"/>
      <c r="CS8" s="245"/>
      <c r="CT8" s="245"/>
      <c r="CU8" s="245"/>
      <c r="CV8" s="245"/>
      <c r="CW8" s="245"/>
      <c r="CX8" s="245"/>
      <c r="CY8" s="245"/>
      <c r="CZ8" s="245"/>
      <c r="DA8" s="245"/>
      <c r="DB8" s="245"/>
      <c r="DC8" s="245"/>
      <c r="DD8" s="245"/>
      <c r="DE8" s="245"/>
      <c r="DF8" s="245"/>
      <c r="DG8" s="245"/>
      <c r="DH8" s="245"/>
      <c r="DI8" s="245"/>
      <c r="DJ8" s="245"/>
      <c r="DK8" s="245"/>
      <c r="DL8" s="245"/>
      <c r="DM8" s="245"/>
      <c r="DN8" s="245"/>
      <c r="DO8" s="245"/>
      <c r="DP8" s="245"/>
      <c r="DQ8" s="245"/>
      <c r="DR8" s="245"/>
      <c r="DS8" s="245"/>
      <c r="DT8" s="245"/>
      <c r="DU8" s="245"/>
      <c r="DV8" s="245"/>
      <c r="DW8" s="245"/>
      <c r="DX8" s="245"/>
      <c r="DY8" s="245"/>
      <c r="DZ8" s="245"/>
      <c r="EA8" s="245"/>
      <c r="EB8" s="245"/>
      <c r="EC8" s="245"/>
      <c r="ED8" s="245"/>
      <c r="EE8" s="245"/>
      <c r="EF8" s="245"/>
      <c r="EG8" s="245"/>
      <c r="EH8" s="245"/>
      <c r="EI8" s="245"/>
      <c r="EJ8" s="245"/>
      <c r="EK8" s="245"/>
      <c r="EL8" s="245"/>
      <c r="EM8" s="245"/>
      <c r="EN8" s="245"/>
      <c r="EO8" s="245"/>
      <c r="EP8" s="245"/>
      <c r="EQ8" s="245"/>
      <c r="ER8" s="245"/>
      <c r="ES8" s="245"/>
      <c r="ET8" s="245"/>
      <c r="EU8" s="245"/>
      <c r="EV8" s="245"/>
      <c r="EW8" s="245"/>
      <c r="EX8" s="245"/>
      <c r="EY8" s="245"/>
      <c r="EZ8" s="245"/>
      <c r="FA8" s="245"/>
      <c r="FB8" s="245"/>
      <c r="FC8" s="245"/>
      <c r="FD8" s="245"/>
      <c r="FE8" s="245"/>
      <c r="FF8" s="245"/>
      <c r="FG8" s="245"/>
      <c r="FH8" s="245"/>
      <c r="FI8" s="245"/>
      <c r="FJ8" s="245"/>
      <c r="FK8" s="245"/>
      <c r="FL8" s="245"/>
      <c r="FM8" s="245"/>
      <c r="FN8" s="245"/>
      <c r="FO8" s="245"/>
      <c r="FP8" s="245"/>
      <c r="FQ8" s="245"/>
      <c r="FR8" s="245"/>
      <c r="FS8" s="245"/>
      <c r="FT8" s="245"/>
      <c r="FU8" s="245"/>
      <c r="FV8" s="245"/>
    </row>
    <row r="9" spans="1:178">
      <c r="A9" s="1034"/>
      <c r="B9" s="639" t="s">
        <v>305</v>
      </c>
      <c r="C9" s="640" t="s">
        <v>142</v>
      </c>
      <c r="D9" s="640"/>
      <c r="E9" s="662" t="s">
        <v>348</v>
      </c>
      <c r="F9" s="663" t="s">
        <v>136</v>
      </c>
      <c r="G9" s="658">
        <v>24398.880000000001</v>
      </c>
      <c r="H9" s="658">
        <v>25035.784242424201</v>
      </c>
      <c r="I9" s="658">
        <v>25672.688484848499</v>
      </c>
      <c r="J9" s="658">
        <v>26309.592727272699</v>
      </c>
      <c r="K9" s="658">
        <v>26946.496969697</v>
      </c>
      <c r="L9" s="658">
        <v>27583.4012121212</v>
      </c>
      <c r="M9" s="658">
        <v>28220.305454545502</v>
      </c>
      <c r="N9" s="658">
        <v>28857.209696969701</v>
      </c>
      <c r="O9" s="658">
        <v>29494.113939393901</v>
      </c>
      <c r="P9" s="664">
        <v>30131.018181818199</v>
      </c>
      <c r="Q9" s="658">
        <v>30767.922424242399</v>
      </c>
      <c r="R9" s="658">
        <v>31404.8266666667</v>
      </c>
      <c r="S9" s="658">
        <v>31722.6</v>
      </c>
      <c r="T9" s="664">
        <v>32547.5</v>
      </c>
      <c r="U9" s="665">
        <v>34500</v>
      </c>
      <c r="V9" s="658">
        <v>33372.400000000001</v>
      </c>
      <c r="W9" s="664">
        <v>34197.300000000003</v>
      </c>
      <c r="X9" s="658">
        <v>35022.199999999997</v>
      </c>
      <c r="Y9" s="658">
        <v>35847.1</v>
      </c>
      <c r="Z9" s="658">
        <v>37700</v>
      </c>
      <c r="AA9" s="658">
        <v>36672</v>
      </c>
      <c r="AB9" s="658">
        <v>37496.9</v>
      </c>
      <c r="AC9" s="665">
        <v>38321.800000000003</v>
      </c>
      <c r="AD9" s="658">
        <v>39146.699999999997</v>
      </c>
      <c r="AE9" s="658">
        <v>35300</v>
      </c>
      <c r="AF9" s="658">
        <v>39971.599999999999</v>
      </c>
      <c r="AG9" s="665">
        <v>40796.5</v>
      </c>
      <c r="AH9" s="658">
        <v>41621.4</v>
      </c>
      <c r="AI9" s="664">
        <v>42446.3</v>
      </c>
      <c r="AJ9" s="666">
        <v>38276</v>
      </c>
      <c r="AK9" s="658">
        <v>40271.199999999997</v>
      </c>
      <c r="AL9" s="658">
        <v>40096.1</v>
      </c>
      <c r="AM9" s="658">
        <v>41921</v>
      </c>
      <c r="AN9" s="658">
        <v>40745.9</v>
      </c>
      <c r="AO9" s="666">
        <v>40250</v>
      </c>
      <c r="AP9" s="658">
        <v>41570.800000000003</v>
      </c>
      <c r="AQ9" s="658">
        <v>39395.699999999997</v>
      </c>
      <c r="AR9" s="658">
        <v>38220.6</v>
      </c>
      <c r="AS9" s="658">
        <v>39045.5</v>
      </c>
      <c r="AT9" s="666">
        <v>40278</v>
      </c>
      <c r="AU9" s="658">
        <v>40825</v>
      </c>
      <c r="AV9" s="658">
        <v>39651</v>
      </c>
      <c r="AW9" s="658">
        <v>40745</v>
      </c>
      <c r="AX9" s="658">
        <v>43210</v>
      </c>
      <c r="AY9" s="658">
        <v>49220</v>
      </c>
      <c r="AZ9" s="658">
        <v>47166</v>
      </c>
      <c r="BA9" s="658">
        <v>48765</v>
      </c>
      <c r="BB9" s="658">
        <v>49461</v>
      </c>
      <c r="BC9" s="658">
        <v>53775</v>
      </c>
      <c r="BD9" s="658">
        <v>54370</v>
      </c>
      <c r="BE9" s="658">
        <v>41640</v>
      </c>
      <c r="BF9" s="658">
        <v>37117</v>
      </c>
      <c r="BG9" s="658">
        <v>37203</v>
      </c>
      <c r="BH9" s="658">
        <v>40633</v>
      </c>
      <c r="BI9" s="658">
        <v>41946</v>
      </c>
      <c r="BJ9" s="658">
        <v>44260</v>
      </c>
      <c r="BK9" s="658">
        <v>46500</v>
      </c>
      <c r="BL9" s="658">
        <v>40900</v>
      </c>
      <c r="BM9" s="658">
        <v>43100</v>
      </c>
      <c r="BN9" s="658">
        <v>41200</v>
      </c>
      <c r="BO9" s="658">
        <v>43200</v>
      </c>
      <c r="BP9" s="658">
        <v>43200</v>
      </c>
      <c r="BQ9" s="658">
        <v>45400</v>
      </c>
      <c r="BR9" s="658">
        <v>48300</v>
      </c>
      <c r="BS9" s="658">
        <v>47500</v>
      </c>
      <c r="BT9" s="658">
        <v>43200</v>
      </c>
      <c r="BU9" s="667">
        <v>30300</v>
      </c>
      <c r="BV9" s="667">
        <v>20000</v>
      </c>
      <c r="BW9" s="667">
        <v>25600</v>
      </c>
      <c r="BX9" s="667">
        <v>36800</v>
      </c>
      <c r="BY9" s="667">
        <v>39400</v>
      </c>
      <c r="BZ9" s="667">
        <v>39300</v>
      </c>
      <c r="CA9" s="667">
        <v>38800</v>
      </c>
      <c r="CB9" s="667">
        <v>38500</v>
      </c>
      <c r="CC9" s="667">
        <v>34300</v>
      </c>
      <c r="CD9" s="667">
        <v>37200</v>
      </c>
      <c r="CE9" s="667">
        <v>42600</v>
      </c>
      <c r="CF9" s="667">
        <v>46400</v>
      </c>
      <c r="CG9" s="667">
        <v>47800</v>
      </c>
      <c r="CH9" s="667">
        <v>47000</v>
      </c>
      <c r="CI9" s="667">
        <v>49100</v>
      </c>
      <c r="CJ9" s="667">
        <v>52210</v>
      </c>
      <c r="CK9" s="667">
        <v>56230</v>
      </c>
      <c r="CL9" s="668">
        <v>53120</v>
      </c>
      <c r="CM9" s="642">
        <f t="shared" si="0"/>
        <v>39151.45642857143</v>
      </c>
      <c r="CN9" s="245"/>
      <c r="CO9" s="245"/>
      <c r="CP9" s="245"/>
      <c r="CQ9" s="245"/>
      <c r="CR9" s="245"/>
      <c r="CS9" s="245"/>
      <c r="CT9" s="245"/>
      <c r="CU9" s="245"/>
      <c r="CV9" s="245"/>
      <c r="CW9" s="245"/>
      <c r="CX9" s="245"/>
      <c r="CY9" s="245"/>
      <c r="CZ9" s="245"/>
      <c r="DA9" s="245"/>
      <c r="DB9" s="245"/>
      <c r="DC9" s="245"/>
      <c r="DD9" s="245"/>
      <c r="DE9" s="245"/>
      <c r="DF9" s="245"/>
      <c r="DG9" s="245"/>
      <c r="DH9" s="245"/>
      <c r="DI9" s="245"/>
      <c r="DJ9" s="245"/>
      <c r="DK9" s="245"/>
      <c r="DL9" s="245"/>
      <c r="DM9" s="245"/>
      <c r="DN9" s="245"/>
      <c r="DO9" s="245"/>
      <c r="DP9" s="245"/>
      <c r="DQ9" s="245"/>
      <c r="DR9" s="245"/>
      <c r="DS9" s="245"/>
      <c r="DT9" s="245"/>
      <c r="DU9" s="245"/>
      <c r="DV9" s="245"/>
      <c r="DW9" s="245"/>
      <c r="DX9" s="245"/>
      <c r="DY9" s="245"/>
      <c r="DZ9" s="245"/>
      <c r="EA9" s="245"/>
      <c r="EB9" s="245"/>
      <c r="EC9" s="245"/>
      <c r="ED9" s="245"/>
      <c r="EE9" s="245"/>
      <c r="EF9" s="245"/>
      <c r="EG9" s="245"/>
      <c r="EH9" s="245"/>
      <c r="EI9" s="245"/>
      <c r="EJ9" s="245"/>
      <c r="EK9" s="245"/>
      <c r="EL9" s="245"/>
      <c r="EM9" s="245"/>
      <c r="EN9" s="245"/>
      <c r="EO9" s="245"/>
      <c r="EP9" s="245"/>
      <c r="EQ9" s="245"/>
      <c r="ER9" s="245"/>
      <c r="ES9" s="245"/>
      <c r="ET9" s="245"/>
      <c r="EU9" s="245"/>
      <c r="EV9" s="245"/>
      <c r="EW9" s="245"/>
      <c r="EX9" s="245"/>
      <c r="EY9" s="245"/>
      <c r="EZ9" s="245"/>
      <c r="FA9" s="245"/>
      <c r="FB9" s="245"/>
      <c r="FC9" s="245"/>
      <c r="FD9" s="245"/>
      <c r="FE9" s="245"/>
      <c r="FF9" s="245"/>
      <c r="FG9" s="245"/>
      <c r="FH9" s="245"/>
      <c r="FI9" s="245"/>
      <c r="FJ9" s="245"/>
      <c r="FK9" s="245"/>
      <c r="FL9" s="245"/>
      <c r="FM9" s="245"/>
      <c r="FN9" s="245"/>
      <c r="FO9" s="245"/>
      <c r="FP9" s="245"/>
      <c r="FQ9" s="245"/>
      <c r="FR9" s="245"/>
      <c r="FS9" s="245"/>
      <c r="FT9" s="245"/>
      <c r="FU9" s="245"/>
      <c r="FV9" s="245"/>
    </row>
    <row r="10" spans="1:178">
      <c r="A10" s="1034"/>
      <c r="B10" s="639" t="s">
        <v>305</v>
      </c>
      <c r="C10" s="640" t="s">
        <v>142</v>
      </c>
      <c r="D10" s="640"/>
      <c r="E10" s="662" t="s">
        <v>348</v>
      </c>
      <c r="F10" s="663" t="s">
        <v>135</v>
      </c>
      <c r="G10" s="658">
        <v>37759.000000000102</v>
      </c>
      <c r="H10" s="658">
        <v>36931.1292929294</v>
      </c>
      <c r="I10" s="658">
        <v>36103.258585858697</v>
      </c>
      <c r="J10" s="658">
        <v>35275.3878787879</v>
      </c>
      <c r="K10" s="658">
        <v>34447.517171717198</v>
      </c>
      <c r="L10" s="658">
        <v>33619.646464646503</v>
      </c>
      <c r="M10" s="658">
        <v>32791.775757575801</v>
      </c>
      <c r="N10" s="658">
        <v>31963.905050505098</v>
      </c>
      <c r="O10" s="658">
        <v>31136.034343434399</v>
      </c>
      <c r="P10" s="664">
        <v>30308.163636363701</v>
      </c>
      <c r="Q10" s="658">
        <v>29480.292929292998</v>
      </c>
      <c r="R10" s="658">
        <v>28652.422222222202</v>
      </c>
      <c r="S10" s="658">
        <v>31782.666666666701</v>
      </c>
      <c r="T10" s="664">
        <v>31356.666666666701</v>
      </c>
      <c r="U10" s="665">
        <v>22930</v>
      </c>
      <c r="V10" s="658">
        <v>22278</v>
      </c>
      <c r="W10" s="664">
        <v>20505</v>
      </c>
      <c r="X10" s="658">
        <v>21079</v>
      </c>
      <c r="Y10" s="658">
        <v>22653</v>
      </c>
      <c r="Z10" s="658">
        <v>22279</v>
      </c>
      <c r="AA10" s="658">
        <v>22327</v>
      </c>
      <c r="AB10" s="658">
        <v>23801</v>
      </c>
      <c r="AC10" s="665">
        <v>22740</v>
      </c>
      <c r="AD10" s="658">
        <v>22280</v>
      </c>
      <c r="AE10" s="658">
        <v>21799</v>
      </c>
      <c r="AF10" s="658">
        <v>21523</v>
      </c>
      <c r="AG10" s="665">
        <v>23055</v>
      </c>
      <c r="AH10" s="658">
        <v>22281</v>
      </c>
      <c r="AI10" s="664">
        <v>21450</v>
      </c>
      <c r="AJ10" s="658">
        <v>22640</v>
      </c>
      <c r="AK10" s="658">
        <v>25818.666666666701</v>
      </c>
      <c r="AL10" s="666">
        <v>22282</v>
      </c>
      <c r="AM10" s="658">
        <v>25392.666666666701</v>
      </c>
      <c r="AN10" s="658">
        <v>24966.666666666701</v>
      </c>
      <c r="AO10" s="658">
        <v>24540.666666666701</v>
      </c>
      <c r="AP10" s="666">
        <v>22283</v>
      </c>
      <c r="AQ10" s="658">
        <v>24114.666666666701</v>
      </c>
      <c r="AR10" s="658">
        <v>23688.666666666701</v>
      </c>
      <c r="AS10" s="658">
        <v>23262.666666666701</v>
      </c>
      <c r="AT10" s="666">
        <v>22284</v>
      </c>
      <c r="AU10" s="658">
        <v>23133</v>
      </c>
      <c r="AV10" s="658">
        <v>21818</v>
      </c>
      <c r="AW10" s="658">
        <v>22281</v>
      </c>
      <c r="AX10" s="658">
        <v>24177</v>
      </c>
      <c r="AY10" s="658">
        <v>28071</v>
      </c>
      <c r="AZ10" s="658">
        <v>28045</v>
      </c>
      <c r="BA10" s="658">
        <v>29524</v>
      </c>
      <c r="BB10" s="658">
        <v>28439</v>
      </c>
      <c r="BC10" s="658">
        <v>30668</v>
      </c>
      <c r="BD10" s="658">
        <v>33226</v>
      </c>
      <c r="BE10" s="658">
        <v>28437</v>
      </c>
      <c r="BF10" s="658">
        <v>23915</v>
      </c>
      <c r="BG10" s="658">
        <v>25268</v>
      </c>
      <c r="BH10" s="658">
        <v>28957</v>
      </c>
      <c r="BI10" s="658">
        <v>29150</v>
      </c>
      <c r="BJ10" s="658">
        <v>30044</v>
      </c>
      <c r="BK10" s="658">
        <v>28400</v>
      </c>
      <c r="BL10" s="658">
        <v>25400</v>
      </c>
      <c r="BM10" s="658">
        <v>26700</v>
      </c>
      <c r="BN10" s="658">
        <v>22400</v>
      </c>
      <c r="BO10" s="658">
        <v>24500</v>
      </c>
      <c r="BP10" s="658">
        <v>21200</v>
      </c>
      <c r="BQ10" s="658">
        <v>18600</v>
      </c>
      <c r="BR10" s="658">
        <v>21400</v>
      </c>
      <c r="BS10" s="658">
        <v>22400</v>
      </c>
      <c r="BT10" s="658">
        <v>23100</v>
      </c>
      <c r="BU10" s="667">
        <v>14400</v>
      </c>
      <c r="BV10" s="667">
        <v>10800</v>
      </c>
      <c r="BW10" s="667">
        <v>14100</v>
      </c>
      <c r="BX10" s="667">
        <v>18300</v>
      </c>
      <c r="BY10" s="667">
        <v>20100</v>
      </c>
      <c r="BZ10" s="667">
        <v>21300</v>
      </c>
      <c r="CA10" s="667">
        <v>20000</v>
      </c>
      <c r="CB10" s="667">
        <v>20600</v>
      </c>
      <c r="CC10" s="667">
        <v>21500</v>
      </c>
      <c r="CD10" s="667">
        <v>23400</v>
      </c>
      <c r="CE10" s="667">
        <v>24700</v>
      </c>
      <c r="CF10" s="667">
        <v>27200</v>
      </c>
      <c r="CG10" s="667">
        <v>28300</v>
      </c>
      <c r="CH10" s="667">
        <v>29000</v>
      </c>
      <c r="CI10" s="667">
        <v>29700</v>
      </c>
      <c r="CJ10" s="667">
        <v>31350</v>
      </c>
      <c r="CK10" s="667">
        <v>30470</v>
      </c>
      <c r="CL10" s="668">
        <v>31250</v>
      </c>
      <c r="CM10" s="642">
        <f t="shared" si="0"/>
        <v>25495.053968253982</v>
      </c>
      <c r="CN10" s="245"/>
      <c r="CO10" s="245"/>
      <c r="CP10" s="245"/>
      <c r="CQ10" s="245"/>
      <c r="CR10" s="245"/>
      <c r="CS10" s="245"/>
      <c r="CT10" s="245"/>
      <c r="CU10" s="245"/>
      <c r="CV10" s="245"/>
      <c r="CW10" s="245"/>
      <c r="CX10" s="245"/>
      <c r="CY10" s="245"/>
      <c r="CZ10" s="245"/>
      <c r="DA10" s="245"/>
      <c r="DB10" s="245"/>
      <c r="DC10" s="245"/>
      <c r="DD10" s="245"/>
      <c r="DE10" s="245"/>
      <c r="DF10" s="245"/>
      <c r="DG10" s="245"/>
      <c r="DH10" s="245"/>
      <c r="DI10" s="245"/>
      <c r="DJ10" s="245"/>
      <c r="DK10" s="245"/>
      <c r="DL10" s="245"/>
      <c r="DM10" s="245"/>
      <c r="DN10" s="245"/>
      <c r="DO10" s="245"/>
      <c r="DP10" s="245"/>
      <c r="DQ10" s="245"/>
      <c r="DR10" s="245"/>
      <c r="DS10" s="245"/>
      <c r="DT10" s="245"/>
      <c r="DU10" s="245"/>
      <c r="DV10" s="245"/>
      <c r="DW10" s="245"/>
      <c r="DX10" s="245"/>
      <c r="DY10" s="245"/>
      <c r="DZ10" s="245"/>
      <c r="EA10" s="245"/>
      <c r="EB10" s="245"/>
      <c r="EC10" s="245"/>
      <c r="ED10" s="245"/>
      <c r="EE10" s="245"/>
      <c r="EF10" s="245"/>
      <c r="EG10" s="245"/>
      <c r="EH10" s="245"/>
      <c r="EI10" s="245"/>
      <c r="EJ10" s="245"/>
      <c r="EK10" s="245"/>
      <c r="EL10" s="245"/>
      <c r="EM10" s="245"/>
      <c r="EN10" s="245"/>
      <c r="EO10" s="245"/>
      <c r="EP10" s="245"/>
      <c r="EQ10" s="245"/>
      <c r="ER10" s="245"/>
      <c r="ES10" s="245"/>
      <c r="ET10" s="245"/>
      <c r="EU10" s="245"/>
      <c r="EV10" s="245"/>
      <c r="EW10" s="245"/>
      <c r="EX10" s="245"/>
      <c r="EY10" s="245"/>
      <c r="EZ10" s="245"/>
      <c r="FA10" s="245"/>
      <c r="FB10" s="245"/>
      <c r="FC10" s="245"/>
      <c r="FD10" s="245"/>
      <c r="FE10" s="245"/>
      <c r="FF10" s="245"/>
      <c r="FG10" s="245"/>
      <c r="FH10" s="245"/>
      <c r="FI10" s="245"/>
      <c r="FJ10" s="245"/>
      <c r="FK10" s="245"/>
      <c r="FL10" s="245"/>
      <c r="FM10" s="245"/>
      <c r="FN10" s="245"/>
      <c r="FO10" s="245"/>
      <c r="FP10" s="245"/>
      <c r="FQ10" s="245"/>
      <c r="FR10" s="245"/>
      <c r="FS10" s="245"/>
      <c r="FT10" s="245"/>
      <c r="FU10" s="245"/>
      <c r="FV10" s="245"/>
    </row>
    <row r="11" spans="1:178">
      <c r="A11" s="1035"/>
      <c r="B11" s="647" t="s">
        <v>305</v>
      </c>
      <c r="C11" s="648" t="s">
        <v>142</v>
      </c>
      <c r="D11" s="648"/>
      <c r="E11" s="669" t="s">
        <v>348</v>
      </c>
      <c r="F11" s="670" t="s">
        <v>134</v>
      </c>
      <c r="G11" s="671">
        <v>32175.4666666667</v>
      </c>
      <c r="H11" s="671">
        <v>32270.216161616201</v>
      </c>
      <c r="I11" s="671">
        <v>32364.965656565699</v>
      </c>
      <c r="J11" s="671">
        <v>32459.7151515152</v>
      </c>
      <c r="K11" s="671">
        <v>32554.464646464701</v>
      </c>
      <c r="L11" s="671">
        <v>32649.214141414199</v>
      </c>
      <c r="M11" s="671">
        <v>32743.9636363637</v>
      </c>
      <c r="N11" s="671">
        <v>32838.713131313198</v>
      </c>
      <c r="O11" s="671">
        <v>32933.462626262699</v>
      </c>
      <c r="P11" s="664">
        <v>33028.212121212098</v>
      </c>
      <c r="Q11" s="671">
        <v>33122.9616161616</v>
      </c>
      <c r="R11" s="671">
        <v>33217.711111111101</v>
      </c>
      <c r="S11" s="671">
        <v>33015.666666666701</v>
      </c>
      <c r="T11" s="672">
        <v>33126.166666666701</v>
      </c>
      <c r="U11" s="673">
        <v>33236.666666666701</v>
      </c>
      <c r="V11" s="671">
        <v>35084</v>
      </c>
      <c r="W11" s="672">
        <v>33347.166666666701</v>
      </c>
      <c r="X11" s="671">
        <v>33457.666666666701</v>
      </c>
      <c r="Y11" s="671">
        <v>33568.166666666701</v>
      </c>
      <c r="Z11" s="658">
        <v>35085</v>
      </c>
      <c r="AA11" s="671">
        <v>33678.666666666701</v>
      </c>
      <c r="AB11" s="671">
        <v>33789.166666666701</v>
      </c>
      <c r="AC11" s="673">
        <v>33899.666666666701</v>
      </c>
      <c r="AD11" s="671">
        <v>35086</v>
      </c>
      <c r="AE11" s="658">
        <v>34010.166666666701</v>
      </c>
      <c r="AF11" s="671">
        <v>34120.666666666701</v>
      </c>
      <c r="AG11" s="673">
        <v>34231.166666666701</v>
      </c>
      <c r="AH11" s="671">
        <v>35087</v>
      </c>
      <c r="AI11" s="672">
        <v>34341.666666666701</v>
      </c>
      <c r="AJ11" s="671">
        <v>34452.166666666701</v>
      </c>
      <c r="AK11" s="671">
        <v>34562.666666666701</v>
      </c>
      <c r="AL11" s="674">
        <v>35088</v>
      </c>
      <c r="AM11" s="671">
        <v>34673.166666666701</v>
      </c>
      <c r="AN11" s="671">
        <v>34783.666666666701</v>
      </c>
      <c r="AO11" s="671">
        <v>34894.166666666701</v>
      </c>
      <c r="AP11" s="674">
        <v>35089</v>
      </c>
      <c r="AQ11" s="671">
        <v>35004.666666666701</v>
      </c>
      <c r="AR11" s="671">
        <v>35115.166666666701</v>
      </c>
      <c r="AS11" s="671">
        <v>35225.666666666701</v>
      </c>
      <c r="AT11" s="674">
        <v>35090</v>
      </c>
      <c r="AU11" s="671">
        <v>35648</v>
      </c>
      <c r="AV11" s="671">
        <v>34823</v>
      </c>
      <c r="AW11" s="671">
        <v>35869</v>
      </c>
      <c r="AX11" s="671">
        <v>38900</v>
      </c>
      <c r="AY11" s="671">
        <v>48637</v>
      </c>
      <c r="AZ11" s="671">
        <v>46484</v>
      </c>
      <c r="BA11" s="671">
        <v>48182</v>
      </c>
      <c r="BB11" s="671">
        <v>48880</v>
      </c>
      <c r="BC11" s="671">
        <v>53437</v>
      </c>
      <c r="BD11" s="671">
        <v>53976</v>
      </c>
      <c r="BE11" s="671">
        <v>40000</v>
      </c>
      <c r="BF11" s="671">
        <v>35076</v>
      </c>
      <c r="BG11" s="671">
        <v>35172</v>
      </c>
      <c r="BH11" s="671">
        <v>38937</v>
      </c>
      <c r="BI11" s="671">
        <v>40545</v>
      </c>
      <c r="BJ11" s="671">
        <v>43117</v>
      </c>
      <c r="BK11" s="671">
        <v>41200</v>
      </c>
      <c r="BL11" s="671">
        <v>35000</v>
      </c>
      <c r="BM11" s="671">
        <v>37500</v>
      </c>
      <c r="BN11" s="671">
        <v>35100</v>
      </c>
      <c r="BO11" s="671">
        <v>37300</v>
      </c>
      <c r="BP11" s="671">
        <v>37300</v>
      </c>
      <c r="BQ11" s="671">
        <v>39700</v>
      </c>
      <c r="BR11" s="671">
        <v>41700</v>
      </c>
      <c r="BS11" s="671">
        <v>40900</v>
      </c>
      <c r="BT11" s="671">
        <v>38000</v>
      </c>
      <c r="BU11" s="675">
        <v>25000</v>
      </c>
      <c r="BV11" s="675">
        <v>19100</v>
      </c>
      <c r="BW11" s="675">
        <v>25000</v>
      </c>
      <c r="BX11" s="675">
        <v>31800</v>
      </c>
      <c r="BY11" s="675">
        <v>33800</v>
      </c>
      <c r="BZ11" s="675">
        <v>35100</v>
      </c>
      <c r="CA11" s="675">
        <v>36000</v>
      </c>
      <c r="CB11" s="675">
        <v>35700</v>
      </c>
      <c r="CC11" s="675">
        <v>35700</v>
      </c>
      <c r="CD11" s="675">
        <v>39300</v>
      </c>
      <c r="CE11" s="675">
        <v>42500</v>
      </c>
      <c r="CF11" s="675">
        <v>46600</v>
      </c>
      <c r="CG11" s="675">
        <v>48300</v>
      </c>
      <c r="CH11" s="675">
        <v>44700</v>
      </c>
      <c r="CI11" s="675">
        <v>47100</v>
      </c>
      <c r="CJ11" s="675">
        <v>50610</v>
      </c>
      <c r="CK11" s="675">
        <v>50620</v>
      </c>
      <c r="CL11" s="676">
        <v>44350</v>
      </c>
      <c r="CM11" s="651">
        <f t="shared" si="0"/>
        <v>36990.060317460338</v>
      </c>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row>
    <row r="12" spans="1:178" ht="12.75" customHeight="1">
      <c r="A12" s="1036" t="s">
        <v>604</v>
      </c>
      <c r="B12" s="677" t="s">
        <v>309</v>
      </c>
      <c r="C12" s="678" t="s">
        <v>310</v>
      </c>
      <c r="D12" s="678"/>
      <c r="E12" s="1039" t="s">
        <v>311</v>
      </c>
      <c r="F12" s="679" t="s">
        <v>148</v>
      </c>
      <c r="G12" s="680">
        <f>Feed!$F$4*1000/12</f>
        <v>47416.666666666664</v>
      </c>
      <c r="H12" s="680">
        <f>[9]Feed!$F$4*1000/12</f>
        <v>47416.666666666664</v>
      </c>
      <c r="I12" s="680">
        <f>[9]Feed!$F$4*1000/12</f>
        <v>47416.666666666664</v>
      </c>
      <c r="J12" s="680">
        <f>[9]Feed!$F$4*1000/12</f>
        <v>47416.666666666664</v>
      </c>
      <c r="K12" s="680">
        <f>[9]Feed!$F$4*1000/12</f>
        <v>47416.666666666664</v>
      </c>
      <c r="L12" s="680">
        <f>[9]Feed!$F$4*1000/12</f>
        <v>47416.666666666664</v>
      </c>
      <c r="M12" s="680">
        <f>[9]Feed!$F$4*1000/12</f>
        <v>47416.666666666664</v>
      </c>
      <c r="N12" s="680">
        <f>[9]Feed!$F$4*1000/12</f>
        <v>47416.666666666664</v>
      </c>
      <c r="O12" s="680">
        <f>[9]Feed!$F$4*1000/12</f>
        <v>47416.666666666664</v>
      </c>
      <c r="P12" s="680">
        <f>[9]Feed!$F$4*1000/12</f>
        <v>47416.666666666664</v>
      </c>
      <c r="Q12" s="680">
        <f>[9]Feed!$F$4*1000/12</f>
        <v>47416.666666666664</v>
      </c>
      <c r="R12" s="680">
        <f>[9]Feed!$F$4*1000/12</f>
        <v>47416.666666666664</v>
      </c>
      <c r="S12" s="680">
        <f>[9]Feed!$F$4*1000/12</f>
        <v>47416.666666666664</v>
      </c>
      <c r="T12" s="681">
        <f>[9]Feed!$F$4*1000/12</f>
        <v>47416.666666666664</v>
      </c>
      <c r="U12" s="682">
        <f>[9]Feed!$F$4*1000/12</f>
        <v>47416.666666666664</v>
      </c>
      <c r="V12" s="683">
        <f>[9]Feed!$F$4*1000/12</f>
        <v>47416.666666666664</v>
      </c>
      <c r="W12" s="682">
        <f>[9]Feed!$F$4*1000/12</f>
        <v>47416.666666666664</v>
      </c>
      <c r="X12" s="681">
        <f>[9]Feed!$F$4*1000/12</f>
        <v>47416.666666666664</v>
      </c>
      <c r="Y12" s="682">
        <f>[9]Feed!$F$4*1000/12</f>
        <v>47416.666666666664</v>
      </c>
      <c r="Z12" s="681">
        <f>[9]Feed!$F$4*1000/12</f>
        <v>47416.666666666664</v>
      </c>
      <c r="AA12" s="682">
        <f>[9]Feed!$F$4*1000/12</f>
        <v>47416.666666666664</v>
      </c>
      <c r="AB12" s="681">
        <f>[9]Feed!$F$4*1000/12</f>
        <v>47416.666666666664</v>
      </c>
      <c r="AC12" s="682">
        <f>[9]Feed!$F$4*1000/12</f>
        <v>47416.666666666664</v>
      </c>
      <c r="AD12" s="683">
        <f>[9]Feed!$F$4*1000/12</f>
        <v>47416.666666666664</v>
      </c>
      <c r="AE12" s="682">
        <f>[9]Feed!$F$4*1000/12</f>
        <v>47416.666666666664</v>
      </c>
      <c r="AF12" s="681">
        <f>[9]Feed!$F$4*1000/12</f>
        <v>47416.666666666664</v>
      </c>
      <c r="AG12" s="682">
        <f>[9]Feed!$F$4*1000/12</f>
        <v>47416.666666666664</v>
      </c>
      <c r="AH12" s="683">
        <f>[9]Feed!$F$4*1000/12</f>
        <v>47416.666666666664</v>
      </c>
      <c r="AI12" s="682">
        <f>[9]Feed!$F$4*1000/12</f>
        <v>47416.666666666664</v>
      </c>
      <c r="AJ12" s="681">
        <f>[9]Feed!$F$4*1000/12</f>
        <v>47416.666666666664</v>
      </c>
      <c r="AK12" s="682">
        <f>[9]Feed!$F$4*1000/12</f>
        <v>47416.666666666664</v>
      </c>
      <c r="AL12" s="681">
        <f>[9]Feed!$F$4*1000/12</f>
        <v>47416.666666666664</v>
      </c>
      <c r="AM12" s="682">
        <f>[9]Feed!$F$4*1000/12</f>
        <v>47416.666666666664</v>
      </c>
      <c r="AN12" s="681">
        <f>[9]Feed!$F$4*1000/12</f>
        <v>47416.666666666664</v>
      </c>
      <c r="AO12" s="682">
        <f>[9]Feed!$F$4*1000/12</f>
        <v>47416.666666666664</v>
      </c>
      <c r="AP12" s="681">
        <f>[9]Feed!$F$4*1000/12</f>
        <v>47416.666666666664</v>
      </c>
      <c r="AQ12" s="682">
        <f>[9]Feed!$F$4*1000/12</f>
        <v>47416.666666666664</v>
      </c>
      <c r="AR12" s="681">
        <f>[9]Feed!$F$4*1000/12</f>
        <v>47416.666666666664</v>
      </c>
      <c r="AS12" s="682">
        <f>[9]Feed!$F$4*1000/12</f>
        <v>47416.666666666664</v>
      </c>
      <c r="AT12" s="681">
        <f>[9]Feed!$F$4*1000/12</f>
        <v>47416.666666666664</v>
      </c>
      <c r="AU12" s="682">
        <f>[9]Feed!$F$4*1000/12</f>
        <v>47416.666666666664</v>
      </c>
      <c r="AV12" s="682">
        <f>[9]Feed!$F$4*1000/12</f>
        <v>47416.666666666664</v>
      </c>
      <c r="AW12" s="682">
        <f>[9]Feed!$F$4*1000/12</f>
        <v>47416.666666666664</v>
      </c>
      <c r="AX12" s="682">
        <f>[9]Feed!$F$4*1000/12</f>
        <v>47416.666666666664</v>
      </c>
      <c r="AY12" s="682">
        <f>[9]Feed!$F$4*1000/12</f>
        <v>47416.666666666664</v>
      </c>
      <c r="AZ12" s="682">
        <f>[9]Feed!$F$4*1000/12</f>
        <v>47416.666666666664</v>
      </c>
      <c r="BA12" s="682">
        <f>[9]Feed!$F$4*1000/12</f>
        <v>47416.666666666664</v>
      </c>
      <c r="BB12" s="682">
        <f>[9]Feed!$F$4*1000/12</f>
        <v>47416.666666666664</v>
      </c>
      <c r="BC12" s="682">
        <f>[9]Feed!$F$4*1000/12</f>
        <v>47416.666666666664</v>
      </c>
      <c r="BD12" s="682">
        <f>[9]Feed!$F$4*1000/12</f>
        <v>47416.666666666664</v>
      </c>
      <c r="BE12" s="682">
        <f>[9]Feed!$F$4*1000/12</f>
        <v>47416.666666666664</v>
      </c>
      <c r="BF12" s="682">
        <f>[9]Feed!$F$4*1000/12</f>
        <v>47416.666666666664</v>
      </c>
      <c r="BG12" s="682">
        <f>[9]Feed!$F$4*1000/12</f>
        <v>47416.666666666664</v>
      </c>
      <c r="BH12" s="682">
        <f>[9]Feed!$F$4*1000/12</f>
        <v>47416.666666666664</v>
      </c>
      <c r="BI12" s="682">
        <f>[9]Feed!$F$4*1000/12</f>
        <v>47416.666666666664</v>
      </c>
      <c r="BJ12" s="682">
        <f>[9]Feed!$F$4*1000/12</f>
        <v>47416.666666666664</v>
      </c>
      <c r="BK12" s="682">
        <f>[9]Feed!$F$4*1000/12</f>
        <v>47416.666666666664</v>
      </c>
      <c r="BL12" s="682">
        <f>[9]Feed!$F$4*1000/12</f>
        <v>47416.666666666664</v>
      </c>
      <c r="BM12" s="682">
        <f>[9]Feed!$F$4*1000/12</f>
        <v>47416.666666666664</v>
      </c>
      <c r="BN12" s="682">
        <f>[9]Feed!$F$4*1000/12</f>
        <v>47416.666666666664</v>
      </c>
      <c r="BO12" s="682">
        <f>[9]Feed!$F$4*1000/12</f>
        <v>47416.666666666664</v>
      </c>
      <c r="BP12" s="682">
        <f>[9]Feed!$F$4*1000/12</f>
        <v>47416.666666666664</v>
      </c>
      <c r="BQ12" s="682">
        <f>[9]Feed!$F$4*1000/12</f>
        <v>47416.666666666664</v>
      </c>
      <c r="BR12" s="682">
        <f>[9]Feed!$F$4*1000/12</f>
        <v>47416.666666666664</v>
      </c>
      <c r="BS12" s="682">
        <f>[9]Feed!$F$4*1000/12</f>
        <v>47416.666666666664</v>
      </c>
      <c r="BT12" s="682">
        <f>[9]Feed!$F$4*1000/12</f>
        <v>47416.666666666664</v>
      </c>
      <c r="BU12" s="682">
        <f>[9]Feed!$F$4*1000/12</f>
        <v>47416.666666666664</v>
      </c>
      <c r="BV12" s="682">
        <f>[9]Feed!$F$4*1000/12</f>
        <v>47416.666666666664</v>
      </c>
      <c r="BW12" s="682">
        <f>[9]Feed!$F$4*1000/12</f>
        <v>47416.666666666664</v>
      </c>
      <c r="BX12" s="682">
        <f>[9]Feed!$F$4*1000/12</f>
        <v>47416.666666666664</v>
      </c>
      <c r="BY12" s="682">
        <f>[9]Feed!$F$4*1000/12</f>
        <v>47416.666666666664</v>
      </c>
      <c r="BZ12" s="682">
        <f>[9]Feed!$F$4*1000/12</f>
        <v>47416.666666666664</v>
      </c>
      <c r="CA12" s="682">
        <f>[9]Feed!$F$4*1000/12</f>
        <v>47416.666666666664</v>
      </c>
      <c r="CB12" s="682">
        <f>[9]Feed!$F$4*1000/12</f>
        <v>47416.666666666664</v>
      </c>
      <c r="CC12" s="682">
        <f>[9]Feed!$F$4*1000/12</f>
        <v>47416.666666666664</v>
      </c>
      <c r="CD12" s="682">
        <f>[9]Feed!$F$4*1000/12</f>
        <v>47416.666666666664</v>
      </c>
      <c r="CE12" s="682">
        <f>[9]Feed!$F$4*1000/12</f>
        <v>47416.666666666664</v>
      </c>
      <c r="CF12" s="682">
        <f>[9]Feed!$F$4*1000/12</f>
        <v>47416.666666666664</v>
      </c>
      <c r="CG12" s="682">
        <f>[9]Feed!$F$4*1000/12</f>
        <v>47416.666666666664</v>
      </c>
      <c r="CH12" s="682">
        <f>[9]Feed!$F$4*1000/12</f>
        <v>47416.666666666664</v>
      </c>
      <c r="CI12" s="682">
        <f>[9]Feed!$F$4*1000/12</f>
        <v>47416.666666666664</v>
      </c>
      <c r="CJ12" s="682">
        <f>[9]Feed!$F$4*1000/12</f>
        <v>47416.666666666664</v>
      </c>
      <c r="CK12" s="682">
        <f>[9]Feed!$F$4*1000/12</f>
        <v>47416.666666666664</v>
      </c>
      <c r="CL12" s="684">
        <f>[9]Feed!$F$4*1000/12</f>
        <v>47416.666666666664</v>
      </c>
      <c r="CM12" s="685">
        <f t="shared" si="0"/>
        <v>47416.666666666613</v>
      </c>
      <c r="CN12" s="245"/>
      <c r="CO12" s="245"/>
      <c r="CP12" s="245"/>
      <c r="CQ12" s="245"/>
      <c r="CR12" s="245"/>
      <c r="CS12" s="245"/>
      <c r="CT12" s="245"/>
      <c r="CU12" s="245"/>
      <c r="CV12" s="245"/>
      <c r="CW12" s="245"/>
      <c r="CX12" s="245"/>
      <c r="CY12" s="245"/>
      <c r="CZ12" s="245"/>
      <c r="DA12" s="245"/>
      <c r="DB12" s="245"/>
      <c r="DC12" s="245"/>
      <c r="DD12" s="245"/>
      <c r="DE12" s="245"/>
      <c r="DF12" s="245"/>
      <c r="DG12" s="245"/>
      <c r="DH12" s="245"/>
      <c r="DI12" s="245"/>
      <c r="DJ12" s="245"/>
      <c r="DK12" s="245"/>
      <c r="DL12" s="245"/>
      <c r="DM12" s="245"/>
      <c r="DN12" s="245"/>
      <c r="DO12" s="245"/>
      <c r="DP12" s="245"/>
      <c r="DQ12" s="245"/>
      <c r="DR12" s="245"/>
      <c r="DS12" s="245"/>
      <c r="DT12" s="245"/>
      <c r="DU12" s="245"/>
      <c r="DV12" s="245"/>
      <c r="DW12" s="245"/>
      <c r="DX12" s="245"/>
      <c r="DY12" s="245"/>
      <c r="DZ12" s="245"/>
      <c r="EA12" s="245"/>
      <c r="EB12" s="245"/>
      <c r="EC12" s="245"/>
      <c r="ED12" s="245"/>
      <c r="EE12" s="245"/>
      <c r="EF12" s="245"/>
      <c r="EG12" s="245"/>
      <c r="EH12" s="245"/>
      <c r="EI12" s="245"/>
      <c r="EJ12" s="245"/>
      <c r="EK12" s="245"/>
      <c r="EL12" s="245"/>
      <c r="EM12" s="245"/>
      <c r="EN12" s="245"/>
      <c r="EO12" s="245"/>
      <c r="EP12" s="245"/>
      <c r="EQ12" s="245"/>
      <c r="ER12" s="245"/>
      <c r="ES12" s="245"/>
      <c r="ET12" s="245"/>
      <c r="EU12" s="245"/>
      <c r="EV12" s="245"/>
      <c r="EW12" s="245"/>
      <c r="EX12" s="245"/>
      <c r="EY12" s="245"/>
      <c r="EZ12" s="245"/>
      <c r="FA12" s="245"/>
      <c r="FB12" s="245"/>
      <c r="FC12" s="245"/>
      <c r="FD12" s="245"/>
      <c r="FE12" s="245"/>
      <c r="FF12" s="245"/>
      <c r="FG12" s="245"/>
      <c r="FH12" s="245"/>
      <c r="FI12" s="245"/>
      <c r="FJ12" s="245"/>
      <c r="FK12" s="245"/>
      <c r="FL12" s="245"/>
      <c r="FM12" s="245"/>
      <c r="FN12" s="245"/>
      <c r="FO12" s="245"/>
      <c r="FP12" s="245"/>
      <c r="FQ12" s="245"/>
      <c r="FR12" s="245"/>
      <c r="FS12" s="245"/>
      <c r="FT12" s="245"/>
      <c r="FU12" s="245"/>
      <c r="FV12" s="245"/>
    </row>
    <row r="13" spans="1:178">
      <c r="A13" s="1037"/>
      <c r="B13" s="686" t="s">
        <v>309</v>
      </c>
      <c r="C13" s="687" t="s">
        <v>310</v>
      </c>
      <c r="D13" s="687"/>
      <c r="E13" s="1030"/>
      <c r="F13" s="688" t="s">
        <v>0</v>
      </c>
      <c r="G13" s="680">
        <f>Feed!$F$6*1000/12</f>
        <v>58083.333333333336</v>
      </c>
      <c r="H13" s="680">
        <f>[9]Feed!$F$6*1000/12</f>
        <v>58083.333333333336</v>
      </c>
      <c r="I13" s="680">
        <f>[9]Feed!$F$6*1000/12</f>
        <v>58083.333333333336</v>
      </c>
      <c r="J13" s="680">
        <f>[9]Feed!$F$6*1000/12</f>
        <v>58083.333333333336</v>
      </c>
      <c r="K13" s="680">
        <f>[9]Feed!$F$6*1000/12</f>
        <v>58083.333333333336</v>
      </c>
      <c r="L13" s="680">
        <f>[9]Feed!$F$6*1000/12</f>
        <v>58083.333333333336</v>
      </c>
      <c r="M13" s="680">
        <f>[9]Feed!$F$6*1000/12</f>
        <v>58083.333333333336</v>
      </c>
      <c r="N13" s="680">
        <f>[9]Feed!$F$6*1000/12</f>
        <v>58083.333333333336</v>
      </c>
      <c r="O13" s="680">
        <f>[9]Feed!$F$6*1000/12</f>
        <v>58083.333333333336</v>
      </c>
      <c r="P13" s="680">
        <f>[9]Feed!$F$6*1000/12</f>
        <v>58083.333333333336</v>
      </c>
      <c r="Q13" s="680">
        <f>[9]Feed!$F$6*1000/12</f>
        <v>58083.333333333336</v>
      </c>
      <c r="R13" s="680">
        <f>[9]Feed!$F$6*1000/12</f>
        <v>58083.333333333336</v>
      </c>
      <c r="S13" s="680">
        <f>[9]Feed!$F$6*1000/12</f>
        <v>58083.333333333336</v>
      </c>
      <c r="T13" s="683">
        <f>[9]Feed!$F$6*1000/12</f>
        <v>58083.333333333336</v>
      </c>
      <c r="U13" s="680">
        <f>[9]Feed!$F$6*1000/12</f>
        <v>58083.333333333336</v>
      </c>
      <c r="V13" s="683">
        <f>[9]Feed!$F$6*1000/12</f>
        <v>58083.333333333336</v>
      </c>
      <c r="W13" s="680">
        <f>[9]Feed!$F$6*1000/12</f>
        <v>58083.333333333336</v>
      </c>
      <c r="X13" s="683">
        <f>[9]Feed!$F$6*1000/12</f>
        <v>58083.333333333336</v>
      </c>
      <c r="Y13" s="680">
        <f>[9]Feed!$F$6*1000/12</f>
        <v>58083.333333333336</v>
      </c>
      <c r="Z13" s="683">
        <f>[9]Feed!$F$6*1000/12</f>
        <v>58083.333333333336</v>
      </c>
      <c r="AA13" s="680">
        <f>[9]Feed!$F$6*1000/12</f>
        <v>58083.333333333336</v>
      </c>
      <c r="AB13" s="683">
        <f>[9]Feed!$F$6*1000/12</f>
        <v>58083.333333333336</v>
      </c>
      <c r="AC13" s="680">
        <f>[9]Feed!$F$6*1000/12</f>
        <v>58083.333333333336</v>
      </c>
      <c r="AD13" s="683">
        <f>[9]Feed!$F$6*1000/12</f>
        <v>58083.333333333336</v>
      </c>
      <c r="AE13" s="680">
        <f>[9]Feed!$F$6*1000/12</f>
        <v>58083.333333333336</v>
      </c>
      <c r="AF13" s="683">
        <f>[9]Feed!$F$6*1000/12</f>
        <v>58083.333333333336</v>
      </c>
      <c r="AG13" s="680">
        <f>[9]Feed!$F$6*1000/12</f>
        <v>58083.333333333336</v>
      </c>
      <c r="AH13" s="683">
        <f>[9]Feed!$F$6*1000/12</f>
        <v>58083.333333333336</v>
      </c>
      <c r="AI13" s="680">
        <f>[9]Feed!$F$6*1000/12</f>
        <v>58083.333333333336</v>
      </c>
      <c r="AJ13" s="683">
        <f>[9]Feed!$F$6*1000/12</f>
        <v>58083.333333333336</v>
      </c>
      <c r="AK13" s="680">
        <f>[9]Feed!$F$6*1000/12</f>
        <v>58083.333333333336</v>
      </c>
      <c r="AL13" s="683">
        <f>[9]Feed!$F$6*1000/12</f>
        <v>58083.333333333336</v>
      </c>
      <c r="AM13" s="680">
        <f>[9]Feed!$F$6*1000/12</f>
        <v>58083.333333333336</v>
      </c>
      <c r="AN13" s="683">
        <f>[9]Feed!$F$6*1000/12</f>
        <v>58083.333333333336</v>
      </c>
      <c r="AO13" s="680">
        <f>[9]Feed!$F$6*1000/12</f>
        <v>58083.333333333336</v>
      </c>
      <c r="AP13" s="683">
        <f>[9]Feed!$F$6*1000/12</f>
        <v>58083.333333333336</v>
      </c>
      <c r="AQ13" s="680">
        <f>[9]Feed!$F$6*1000/12</f>
        <v>58083.333333333336</v>
      </c>
      <c r="AR13" s="683">
        <f>[9]Feed!$F$6*1000/12</f>
        <v>58083.333333333336</v>
      </c>
      <c r="AS13" s="680">
        <f>[9]Feed!$F$6*1000/12</f>
        <v>58083.333333333336</v>
      </c>
      <c r="AT13" s="683">
        <f>[9]Feed!$F$6*1000/12</f>
        <v>58083.333333333336</v>
      </c>
      <c r="AU13" s="680">
        <f>[9]Feed!$F$6*1000/12</f>
        <v>58083.333333333336</v>
      </c>
      <c r="AV13" s="680">
        <f>[9]Feed!$F$6*1000/12</f>
        <v>58083.333333333336</v>
      </c>
      <c r="AW13" s="680">
        <f>[9]Feed!$F$6*1000/12</f>
        <v>58083.333333333336</v>
      </c>
      <c r="AX13" s="680">
        <f>[9]Feed!$F$6*1000/12</f>
        <v>58083.333333333336</v>
      </c>
      <c r="AY13" s="680">
        <f>[9]Feed!$F$6*1000/12</f>
        <v>58083.333333333336</v>
      </c>
      <c r="AZ13" s="680">
        <f>[9]Feed!$F$6*1000/12</f>
        <v>58083.333333333336</v>
      </c>
      <c r="BA13" s="680">
        <f>[9]Feed!$F$6*1000/12</f>
        <v>58083.333333333336</v>
      </c>
      <c r="BB13" s="680">
        <f>[9]Feed!$F$6*1000/12</f>
        <v>58083.333333333336</v>
      </c>
      <c r="BC13" s="680">
        <f>[9]Feed!$F$6*1000/12</f>
        <v>58083.333333333336</v>
      </c>
      <c r="BD13" s="680">
        <f>[9]Feed!$F$6*1000/12</f>
        <v>58083.333333333336</v>
      </c>
      <c r="BE13" s="680">
        <f>[9]Feed!$F$6*1000/12</f>
        <v>58083.333333333336</v>
      </c>
      <c r="BF13" s="680">
        <f>[9]Feed!$F$6*1000/12</f>
        <v>58083.333333333336</v>
      </c>
      <c r="BG13" s="680">
        <f>[9]Feed!$F$6*1000/12</f>
        <v>58083.333333333336</v>
      </c>
      <c r="BH13" s="680">
        <f>[9]Feed!$F$6*1000/12</f>
        <v>58083.333333333336</v>
      </c>
      <c r="BI13" s="680">
        <f>[9]Feed!$F$6*1000/12</f>
        <v>58083.333333333336</v>
      </c>
      <c r="BJ13" s="680">
        <f>[9]Feed!$F$6*1000/12</f>
        <v>58083.333333333336</v>
      </c>
      <c r="BK13" s="680">
        <f>[9]Feed!$F$6*1000/12</f>
        <v>58083.333333333336</v>
      </c>
      <c r="BL13" s="680">
        <f>[9]Feed!$F$6*1000/12</f>
        <v>58083.333333333336</v>
      </c>
      <c r="BM13" s="680">
        <f>[9]Feed!$F$6*1000/12</f>
        <v>58083.333333333336</v>
      </c>
      <c r="BN13" s="680">
        <f>[9]Feed!$F$6*1000/12</f>
        <v>58083.333333333336</v>
      </c>
      <c r="BO13" s="680">
        <f>[9]Feed!$F$6*1000/12</f>
        <v>58083.333333333336</v>
      </c>
      <c r="BP13" s="680">
        <f>[9]Feed!$F$6*1000/12</f>
        <v>58083.333333333336</v>
      </c>
      <c r="BQ13" s="680">
        <f>[9]Feed!$F$6*1000/12</f>
        <v>58083.333333333336</v>
      </c>
      <c r="BR13" s="680">
        <f>[9]Feed!$F$6*1000/12</f>
        <v>58083.333333333336</v>
      </c>
      <c r="BS13" s="680">
        <f>[9]Feed!$F$6*1000/12</f>
        <v>58083.333333333336</v>
      </c>
      <c r="BT13" s="680">
        <f>[9]Feed!$F$6*1000/12</f>
        <v>58083.333333333336</v>
      </c>
      <c r="BU13" s="680">
        <f>[9]Feed!$F$6*1000/12</f>
        <v>58083.333333333336</v>
      </c>
      <c r="BV13" s="680">
        <f>[9]Feed!$F$6*1000/12</f>
        <v>58083.333333333336</v>
      </c>
      <c r="BW13" s="680">
        <f>[9]Feed!$F$6*1000/12</f>
        <v>58083.333333333336</v>
      </c>
      <c r="BX13" s="680">
        <f>[9]Feed!$F$6*1000/12</f>
        <v>58083.333333333336</v>
      </c>
      <c r="BY13" s="680">
        <f>[9]Feed!$F$6*1000/12</f>
        <v>58083.333333333336</v>
      </c>
      <c r="BZ13" s="680">
        <f>[9]Feed!$F$6*1000/12</f>
        <v>58083.333333333336</v>
      </c>
      <c r="CA13" s="680">
        <f>[9]Feed!$F$6*1000/12</f>
        <v>58083.333333333336</v>
      </c>
      <c r="CB13" s="680">
        <f>[9]Feed!$F$6*1000/12</f>
        <v>58083.333333333336</v>
      </c>
      <c r="CC13" s="680">
        <f>[9]Feed!$F$6*1000/12</f>
        <v>58083.333333333336</v>
      </c>
      <c r="CD13" s="680">
        <f>[9]Feed!$F$6*1000/12</f>
        <v>58083.333333333336</v>
      </c>
      <c r="CE13" s="680">
        <f>[9]Feed!$F$6*1000/12</f>
        <v>58083.333333333336</v>
      </c>
      <c r="CF13" s="680">
        <f>[9]Feed!$F$6*1000/12</f>
        <v>58083.333333333336</v>
      </c>
      <c r="CG13" s="680">
        <f>[9]Feed!$F$6*1000/12</f>
        <v>58083.333333333336</v>
      </c>
      <c r="CH13" s="680">
        <f>[9]Feed!$F$6*1000/12</f>
        <v>58083.333333333336</v>
      </c>
      <c r="CI13" s="680">
        <f>[9]Feed!$F$6*1000/12</f>
        <v>58083.333333333336</v>
      </c>
      <c r="CJ13" s="680">
        <f>[9]Feed!$F$6*1000/12</f>
        <v>58083.333333333336</v>
      </c>
      <c r="CK13" s="680">
        <f>[9]Feed!$F$6*1000/12</f>
        <v>58083.333333333336</v>
      </c>
      <c r="CL13" s="689">
        <f>[9]Feed!$F$6*1000/12</f>
        <v>58083.333333333336</v>
      </c>
      <c r="CM13" s="685">
        <f t="shared" si="0"/>
        <v>58083.333333333343</v>
      </c>
      <c r="CN13" s="245"/>
      <c r="CO13" s="245"/>
      <c r="CP13" s="245"/>
      <c r="CQ13" s="245"/>
      <c r="CR13" s="245"/>
      <c r="CS13" s="245"/>
      <c r="CT13" s="245"/>
      <c r="CU13" s="245"/>
      <c r="CV13" s="245"/>
      <c r="CW13" s="245"/>
      <c r="CX13" s="245"/>
      <c r="CY13" s="245"/>
      <c r="CZ13" s="245"/>
      <c r="DA13" s="245"/>
      <c r="DB13" s="245"/>
      <c r="DC13" s="245"/>
      <c r="DD13" s="245"/>
      <c r="DE13" s="245"/>
      <c r="DF13" s="245"/>
      <c r="DG13" s="245"/>
      <c r="DH13" s="245"/>
      <c r="DI13" s="245"/>
      <c r="DJ13" s="245"/>
      <c r="DK13" s="245"/>
      <c r="DL13" s="245"/>
      <c r="DM13" s="245"/>
      <c r="DN13" s="245"/>
      <c r="DO13" s="245"/>
      <c r="DP13" s="245"/>
      <c r="DQ13" s="245"/>
      <c r="DR13" s="245"/>
      <c r="DS13" s="245"/>
      <c r="DT13" s="245"/>
      <c r="DU13" s="245"/>
      <c r="DV13" s="245"/>
      <c r="DW13" s="245"/>
      <c r="DX13" s="245"/>
      <c r="DY13" s="245"/>
      <c r="DZ13" s="245"/>
      <c r="EA13" s="245"/>
      <c r="EB13" s="245"/>
      <c r="EC13" s="245"/>
      <c r="ED13" s="245"/>
      <c r="EE13" s="245"/>
      <c r="EF13" s="245"/>
      <c r="EG13" s="245"/>
      <c r="EH13" s="245"/>
      <c r="EI13" s="245"/>
      <c r="EJ13" s="245"/>
      <c r="EK13" s="245"/>
      <c r="EL13" s="245"/>
      <c r="EM13" s="245"/>
      <c r="EN13" s="245"/>
      <c r="EO13" s="245"/>
      <c r="EP13" s="245"/>
      <c r="EQ13" s="245"/>
      <c r="ER13" s="245"/>
      <c r="ES13" s="245"/>
      <c r="ET13" s="245"/>
      <c r="EU13" s="245"/>
      <c r="EV13" s="245"/>
      <c r="EW13" s="245"/>
      <c r="EX13" s="245"/>
      <c r="EY13" s="245"/>
      <c r="EZ13" s="245"/>
      <c r="FA13" s="245"/>
      <c r="FB13" s="245"/>
      <c r="FC13" s="245"/>
      <c r="FD13" s="245"/>
      <c r="FE13" s="245"/>
      <c r="FF13" s="245"/>
      <c r="FG13" s="245"/>
      <c r="FH13" s="245"/>
      <c r="FI13" s="245"/>
      <c r="FJ13" s="245"/>
      <c r="FK13" s="245"/>
      <c r="FL13" s="245"/>
      <c r="FM13" s="245"/>
      <c r="FN13" s="245"/>
      <c r="FO13" s="245"/>
      <c r="FP13" s="245"/>
      <c r="FQ13" s="245"/>
      <c r="FR13" s="245"/>
      <c r="FS13" s="245"/>
      <c r="FT13" s="245"/>
      <c r="FU13" s="245"/>
      <c r="FV13" s="245"/>
    </row>
    <row r="14" spans="1:178">
      <c r="A14" s="1037"/>
      <c r="B14" s="686" t="s">
        <v>309</v>
      </c>
      <c r="C14" s="687" t="s">
        <v>310</v>
      </c>
      <c r="D14" s="687"/>
      <c r="E14" s="1030"/>
      <c r="F14" s="688" t="s">
        <v>304</v>
      </c>
      <c r="G14" s="680">
        <f>Feed!$F$7*1000/12</f>
        <v>11333.333333333334</v>
      </c>
      <c r="H14" s="680">
        <f>[9]Feed!$F$7*1000/12</f>
        <v>11333.333333333334</v>
      </c>
      <c r="I14" s="680">
        <f>[9]Feed!$F$7*1000/12</f>
        <v>11333.333333333334</v>
      </c>
      <c r="J14" s="680">
        <f>[9]Feed!$F$7*1000/12</f>
        <v>11333.333333333334</v>
      </c>
      <c r="K14" s="680">
        <f>[9]Feed!$F$7*1000/12</f>
        <v>11333.333333333334</v>
      </c>
      <c r="L14" s="680">
        <f>[9]Feed!$F$7*1000/12</f>
        <v>11333.333333333334</v>
      </c>
      <c r="M14" s="680">
        <f>[9]Feed!$F$7*1000/12</f>
        <v>11333.333333333334</v>
      </c>
      <c r="N14" s="680">
        <f>[9]Feed!$F$7*1000/12</f>
        <v>11333.333333333334</v>
      </c>
      <c r="O14" s="680">
        <f>[9]Feed!$F$7*1000/12</f>
        <v>11333.333333333334</v>
      </c>
      <c r="P14" s="680">
        <f>[9]Feed!$F$7*1000/12</f>
        <v>11333.333333333334</v>
      </c>
      <c r="Q14" s="680">
        <f>[9]Feed!$F$7*1000/12</f>
        <v>11333.333333333334</v>
      </c>
      <c r="R14" s="680">
        <f>[9]Feed!$F$7*1000/12</f>
        <v>11333.333333333334</v>
      </c>
      <c r="S14" s="680">
        <f>[9]Feed!$F$7*1000/12</f>
        <v>11333.333333333334</v>
      </c>
      <c r="T14" s="683">
        <f>[9]Feed!$F$7*1000/12</f>
        <v>11333.333333333334</v>
      </c>
      <c r="U14" s="680">
        <f>[9]Feed!$F$7*1000/12</f>
        <v>11333.333333333334</v>
      </c>
      <c r="V14" s="683">
        <f>[9]Feed!$F$7*1000/12</f>
        <v>11333.333333333334</v>
      </c>
      <c r="W14" s="680">
        <f>[9]Feed!$F$7*1000/12</f>
        <v>11333.333333333334</v>
      </c>
      <c r="X14" s="683">
        <f>[9]Feed!$F$7*1000/12</f>
        <v>11333.333333333334</v>
      </c>
      <c r="Y14" s="680">
        <f>[9]Feed!$F$7*1000/12</f>
        <v>11333.333333333334</v>
      </c>
      <c r="Z14" s="683">
        <f>[9]Feed!$F$7*1000/12</f>
        <v>11333.333333333334</v>
      </c>
      <c r="AA14" s="680">
        <f>[9]Feed!$F$7*1000/12</f>
        <v>11333.333333333334</v>
      </c>
      <c r="AB14" s="683">
        <f>[9]Feed!$F$7*1000/12</f>
        <v>11333.333333333334</v>
      </c>
      <c r="AC14" s="680">
        <f>[9]Feed!$F$7*1000/12</f>
        <v>11333.333333333334</v>
      </c>
      <c r="AD14" s="683">
        <f>[9]Feed!$F$7*1000/12</f>
        <v>11333.333333333334</v>
      </c>
      <c r="AE14" s="680">
        <f>[9]Feed!$F$7*1000/12</f>
        <v>11333.333333333334</v>
      </c>
      <c r="AF14" s="683">
        <f>[9]Feed!$F$7*1000/12</f>
        <v>11333.333333333334</v>
      </c>
      <c r="AG14" s="680">
        <f>[9]Feed!$F$7*1000/12</f>
        <v>11333.333333333334</v>
      </c>
      <c r="AH14" s="683">
        <f>[9]Feed!$F$7*1000/12</f>
        <v>11333.333333333334</v>
      </c>
      <c r="AI14" s="680">
        <f>[9]Feed!$F$7*1000/12</f>
        <v>11333.333333333334</v>
      </c>
      <c r="AJ14" s="683">
        <f>[9]Feed!$F$7*1000/12</f>
        <v>11333.333333333334</v>
      </c>
      <c r="AK14" s="680">
        <f>[9]Feed!$F$7*1000/12</f>
        <v>11333.333333333334</v>
      </c>
      <c r="AL14" s="683">
        <f>[9]Feed!$F$7*1000/12</f>
        <v>11333.333333333334</v>
      </c>
      <c r="AM14" s="680">
        <f>[9]Feed!$F$7*1000/12</f>
        <v>11333.333333333334</v>
      </c>
      <c r="AN14" s="683">
        <f>[9]Feed!$F$7*1000/12</f>
        <v>11333.333333333334</v>
      </c>
      <c r="AO14" s="680">
        <f>[9]Feed!$F$7*1000/12</f>
        <v>11333.333333333334</v>
      </c>
      <c r="AP14" s="683">
        <f>[9]Feed!$F$7*1000/12</f>
        <v>11333.333333333334</v>
      </c>
      <c r="AQ14" s="680">
        <f>[9]Feed!$F$7*1000/12</f>
        <v>11333.333333333334</v>
      </c>
      <c r="AR14" s="683">
        <f>[9]Feed!$F$7*1000/12</f>
        <v>11333.333333333334</v>
      </c>
      <c r="AS14" s="680">
        <f>[9]Feed!$F$7*1000/12</f>
        <v>11333.333333333334</v>
      </c>
      <c r="AT14" s="683">
        <f>[9]Feed!$F$7*1000/12</f>
        <v>11333.333333333334</v>
      </c>
      <c r="AU14" s="680">
        <f>[9]Feed!$F$7*1000/12</f>
        <v>11333.333333333334</v>
      </c>
      <c r="AV14" s="680">
        <f>[9]Feed!$F$7*1000/12</f>
        <v>11333.333333333334</v>
      </c>
      <c r="AW14" s="680">
        <f>[9]Feed!$F$7*1000/12</f>
        <v>11333.333333333334</v>
      </c>
      <c r="AX14" s="680">
        <f>[9]Feed!$F$7*1000/12</f>
        <v>11333.333333333334</v>
      </c>
      <c r="AY14" s="680">
        <f>[9]Feed!$F$7*1000/12</f>
        <v>11333.333333333334</v>
      </c>
      <c r="AZ14" s="680">
        <f>[9]Feed!$F$7*1000/12</f>
        <v>11333.333333333334</v>
      </c>
      <c r="BA14" s="680">
        <f>[9]Feed!$F$7*1000/12</f>
        <v>11333.333333333334</v>
      </c>
      <c r="BB14" s="680">
        <f>[9]Feed!$F$7*1000/12</f>
        <v>11333.333333333334</v>
      </c>
      <c r="BC14" s="680">
        <f>[9]Feed!$F$7*1000/12</f>
        <v>11333.333333333334</v>
      </c>
      <c r="BD14" s="680">
        <f>[9]Feed!$F$7*1000/12</f>
        <v>11333.333333333334</v>
      </c>
      <c r="BE14" s="680">
        <f>[9]Feed!$F$7*1000/12</f>
        <v>11333.333333333334</v>
      </c>
      <c r="BF14" s="680">
        <f>[9]Feed!$F$7*1000/12</f>
        <v>11333.333333333334</v>
      </c>
      <c r="BG14" s="680">
        <f>[9]Feed!$F$7*1000/12</f>
        <v>11333.333333333334</v>
      </c>
      <c r="BH14" s="680">
        <f>[9]Feed!$F$7*1000/12</f>
        <v>11333.333333333334</v>
      </c>
      <c r="BI14" s="680">
        <f>[9]Feed!$F$7*1000/12</f>
        <v>11333.333333333334</v>
      </c>
      <c r="BJ14" s="680">
        <f>[9]Feed!$F$7*1000/12</f>
        <v>11333.333333333334</v>
      </c>
      <c r="BK14" s="680">
        <f>[9]Feed!$F$7*1000/12</f>
        <v>11333.333333333334</v>
      </c>
      <c r="BL14" s="680">
        <f>[9]Feed!$F$7*1000/12</f>
        <v>11333.333333333334</v>
      </c>
      <c r="BM14" s="680">
        <f>[9]Feed!$F$7*1000/12</f>
        <v>11333.333333333334</v>
      </c>
      <c r="BN14" s="680">
        <f>[9]Feed!$F$7*1000/12</f>
        <v>11333.333333333334</v>
      </c>
      <c r="BO14" s="680">
        <f>[9]Feed!$F$7*1000/12</f>
        <v>11333.333333333334</v>
      </c>
      <c r="BP14" s="680">
        <f>[9]Feed!$F$7*1000/12</f>
        <v>11333.333333333334</v>
      </c>
      <c r="BQ14" s="680">
        <f>[9]Feed!$F$7*1000/12</f>
        <v>11333.333333333334</v>
      </c>
      <c r="BR14" s="680">
        <f>[9]Feed!$F$7*1000/12</f>
        <v>11333.333333333334</v>
      </c>
      <c r="BS14" s="680">
        <f>[9]Feed!$F$7*1000/12</f>
        <v>11333.333333333334</v>
      </c>
      <c r="BT14" s="680">
        <f>[9]Feed!$F$7*1000/12</f>
        <v>11333.333333333334</v>
      </c>
      <c r="BU14" s="680">
        <f>[9]Feed!$F$7*1000/12</f>
        <v>11333.333333333334</v>
      </c>
      <c r="BV14" s="680">
        <f>[9]Feed!$F$7*1000/12</f>
        <v>11333.333333333334</v>
      </c>
      <c r="BW14" s="680">
        <f>[9]Feed!$F$7*1000/12</f>
        <v>11333.333333333334</v>
      </c>
      <c r="BX14" s="680">
        <f>[9]Feed!$F$7*1000/12</f>
        <v>11333.333333333334</v>
      </c>
      <c r="BY14" s="680">
        <f>[9]Feed!$F$7*1000/12</f>
        <v>11333.333333333334</v>
      </c>
      <c r="BZ14" s="680">
        <f>[9]Feed!$F$7*1000/12</f>
        <v>11333.333333333334</v>
      </c>
      <c r="CA14" s="680">
        <f>[9]Feed!$F$7*1000/12</f>
        <v>11333.333333333334</v>
      </c>
      <c r="CB14" s="680">
        <f>[9]Feed!$F$7*1000/12</f>
        <v>11333.333333333334</v>
      </c>
      <c r="CC14" s="680">
        <f>[9]Feed!$F$7*1000/12</f>
        <v>11333.333333333334</v>
      </c>
      <c r="CD14" s="680">
        <f>[9]Feed!$F$7*1000/12</f>
        <v>11333.333333333334</v>
      </c>
      <c r="CE14" s="680">
        <f>[9]Feed!$F$7*1000/12</f>
        <v>11333.333333333334</v>
      </c>
      <c r="CF14" s="680">
        <f>[9]Feed!$F$7*1000/12</f>
        <v>11333.333333333334</v>
      </c>
      <c r="CG14" s="680">
        <f>[9]Feed!$F$7*1000/12</f>
        <v>11333.333333333334</v>
      </c>
      <c r="CH14" s="680">
        <f>[9]Feed!$F$7*1000/12</f>
        <v>11333.333333333334</v>
      </c>
      <c r="CI14" s="680">
        <f>[9]Feed!$F$7*1000/12</f>
        <v>11333.333333333334</v>
      </c>
      <c r="CJ14" s="680">
        <f>[9]Feed!$F$7*1000/12</f>
        <v>11333.333333333334</v>
      </c>
      <c r="CK14" s="680">
        <f>[9]Feed!$F$7*1000/12</f>
        <v>11333.333333333334</v>
      </c>
      <c r="CL14" s="689">
        <f>[9]Feed!$F$7*1000/12</f>
        <v>11333.333333333334</v>
      </c>
      <c r="CM14" s="685">
        <f t="shared" si="0"/>
        <v>11333.333333333347</v>
      </c>
      <c r="CN14" s="245"/>
      <c r="CO14" s="245"/>
      <c r="CP14" s="245"/>
      <c r="CQ14" s="245"/>
      <c r="CR14" s="245"/>
      <c r="CS14" s="245"/>
      <c r="CT14" s="245"/>
      <c r="CU14" s="245"/>
      <c r="CV14" s="245"/>
      <c r="CW14" s="245"/>
      <c r="CX14" s="245"/>
      <c r="CY14" s="245"/>
      <c r="CZ14" s="245"/>
      <c r="DA14" s="245"/>
      <c r="DB14" s="245"/>
      <c r="DC14" s="245"/>
      <c r="DD14" s="245"/>
      <c r="DE14" s="245"/>
      <c r="DF14" s="245"/>
      <c r="DG14" s="245"/>
      <c r="DH14" s="245"/>
      <c r="DI14" s="245"/>
      <c r="DJ14" s="245"/>
      <c r="DK14" s="245"/>
      <c r="DL14" s="245"/>
      <c r="DM14" s="245"/>
      <c r="DN14" s="245"/>
      <c r="DO14" s="245"/>
      <c r="DP14" s="245"/>
      <c r="DQ14" s="245"/>
      <c r="DR14" s="245"/>
      <c r="DS14" s="245"/>
      <c r="DT14" s="245"/>
      <c r="DU14" s="245"/>
      <c r="DV14" s="245"/>
      <c r="DW14" s="245"/>
      <c r="DX14" s="245"/>
      <c r="DY14" s="245"/>
      <c r="DZ14" s="245"/>
      <c r="EA14" s="245"/>
      <c r="EB14" s="245"/>
      <c r="EC14" s="245"/>
      <c r="ED14" s="245"/>
      <c r="EE14" s="245"/>
      <c r="EF14" s="245"/>
      <c r="EG14" s="245"/>
      <c r="EH14" s="245"/>
      <c r="EI14" s="245"/>
      <c r="EJ14" s="245"/>
      <c r="EK14" s="245"/>
      <c r="EL14" s="245"/>
      <c r="EM14" s="245"/>
      <c r="EN14" s="245"/>
      <c r="EO14" s="245"/>
      <c r="EP14" s="245"/>
      <c r="EQ14" s="245"/>
      <c r="ER14" s="245"/>
      <c r="ES14" s="245"/>
      <c r="ET14" s="245"/>
      <c r="EU14" s="245"/>
      <c r="EV14" s="245"/>
      <c r="EW14" s="245"/>
      <c r="EX14" s="245"/>
      <c r="EY14" s="245"/>
      <c r="EZ14" s="245"/>
      <c r="FA14" s="245"/>
      <c r="FB14" s="245"/>
      <c r="FC14" s="245"/>
      <c r="FD14" s="245"/>
      <c r="FE14" s="245"/>
      <c r="FF14" s="245"/>
      <c r="FG14" s="245"/>
      <c r="FH14" s="245"/>
      <c r="FI14" s="245"/>
      <c r="FJ14" s="245"/>
      <c r="FK14" s="245"/>
      <c r="FL14" s="245"/>
      <c r="FM14" s="245"/>
      <c r="FN14" s="245"/>
      <c r="FO14" s="245"/>
      <c r="FP14" s="245"/>
      <c r="FQ14" s="245"/>
      <c r="FR14" s="245"/>
      <c r="FS14" s="245"/>
      <c r="FT14" s="245"/>
      <c r="FU14" s="245"/>
      <c r="FV14" s="245"/>
    </row>
    <row r="15" spans="1:178">
      <c r="A15" s="1038"/>
      <c r="B15" s="690" t="s">
        <v>309</v>
      </c>
      <c r="C15" s="691" t="s">
        <v>310</v>
      </c>
      <c r="D15" s="691"/>
      <c r="E15" s="1040"/>
      <c r="F15" s="692" t="s">
        <v>1</v>
      </c>
      <c r="G15" s="693">
        <f>Feed!$F$5*1000/12</f>
        <v>134250</v>
      </c>
      <c r="H15" s="693">
        <f>[9]Feed!$F$5*1000/12</f>
        <v>134250</v>
      </c>
      <c r="I15" s="693">
        <f>[9]Feed!$F$5*1000/12</f>
        <v>134250</v>
      </c>
      <c r="J15" s="693">
        <f>[9]Feed!$F$5*1000/12</f>
        <v>134250</v>
      </c>
      <c r="K15" s="693">
        <f>[9]Feed!$F$5*1000/12</f>
        <v>134250</v>
      </c>
      <c r="L15" s="693">
        <f>[9]Feed!$F$5*1000/12</f>
        <v>134250</v>
      </c>
      <c r="M15" s="693">
        <f>[9]Feed!$F$5*1000/12</f>
        <v>134250</v>
      </c>
      <c r="N15" s="693">
        <f>[9]Feed!$F$5*1000/12</f>
        <v>134250</v>
      </c>
      <c r="O15" s="693">
        <f>[9]Feed!$F$5*1000/12</f>
        <v>134250</v>
      </c>
      <c r="P15" s="693">
        <f>[9]Feed!$F$5*1000/12</f>
        <v>134250</v>
      </c>
      <c r="Q15" s="693">
        <f>[9]Feed!$F$5*1000/12</f>
        <v>134250</v>
      </c>
      <c r="R15" s="693">
        <f>[9]Feed!$F$5*1000/12</f>
        <v>134250</v>
      </c>
      <c r="S15" s="693">
        <f>[9]Feed!$F$5*1000/12</f>
        <v>134250</v>
      </c>
      <c r="T15" s="694">
        <f>[9]Feed!$F$5*1000/12</f>
        <v>134250</v>
      </c>
      <c r="U15" s="693">
        <f>[9]Feed!$F$5*1000/12</f>
        <v>134250</v>
      </c>
      <c r="V15" s="694">
        <f>[9]Feed!$F$5*1000/12</f>
        <v>134250</v>
      </c>
      <c r="W15" s="693">
        <f>[9]Feed!$F$5*1000/12</f>
        <v>134250</v>
      </c>
      <c r="X15" s="694">
        <f>[9]Feed!$F$5*1000/12</f>
        <v>134250</v>
      </c>
      <c r="Y15" s="693">
        <f>[9]Feed!$F$5*1000/12</f>
        <v>134250</v>
      </c>
      <c r="Z15" s="694">
        <f>[9]Feed!$F$5*1000/12</f>
        <v>134250</v>
      </c>
      <c r="AA15" s="693">
        <f>[9]Feed!$F$5*1000/12</f>
        <v>134250</v>
      </c>
      <c r="AB15" s="694">
        <f>[9]Feed!$F$5*1000/12</f>
        <v>134250</v>
      </c>
      <c r="AC15" s="693">
        <f>[9]Feed!$F$5*1000/12</f>
        <v>134250</v>
      </c>
      <c r="AD15" s="694">
        <f>[9]Feed!$F$5*1000/12</f>
        <v>134250</v>
      </c>
      <c r="AE15" s="693">
        <f>[9]Feed!$F$5*1000/12</f>
        <v>134250</v>
      </c>
      <c r="AF15" s="694">
        <f>[9]Feed!$F$5*1000/12</f>
        <v>134250</v>
      </c>
      <c r="AG15" s="693">
        <f>[9]Feed!$F$5*1000/12</f>
        <v>134250</v>
      </c>
      <c r="AH15" s="694">
        <f>[9]Feed!$F$5*1000/12</f>
        <v>134250</v>
      </c>
      <c r="AI15" s="693">
        <f>[9]Feed!$F$5*1000/12</f>
        <v>134250</v>
      </c>
      <c r="AJ15" s="694">
        <f>[9]Feed!$F$5*1000/12</f>
        <v>134250</v>
      </c>
      <c r="AK15" s="693">
        <f>[9]Feed!$F$5*1000/12</f>
        <v>134250</v>
      </c>
      <c r="AL15" s="694">
        <f>[9]Feed!$F$5*1000/12</f>
        <v>134250</v>
      </c>
      <c r="AM15" s="693">
        <f>[9]Feed!$F$5*1000/12</f>
        <v>134250</v>
      </c>
      <c r="AN15" s="694">
        <f>[9]Feed!$F$5*1000/12</f>
        <v>134250</v>
      </c>
      <c r="AO15" s="693">
        <f>[9]Feed!$F$5*1000/12</f>
        <v>134250</v>
      </c>
      <c r="AP15" s="694">
        <f>[9]Feed!$F$5*1000/12</f>
        <v>134250</v>
      </c>
      <c r="AQ15" s="693">
        <f>[9]Feed!$F$5*1000/12</f>
        <v>134250</v>
      </c>
      <c r="AR15" s="694">
        <f>[9]Feed!$F$5*1000/12</f>
        <v>134250</v>
      </c>
      <c r="AS15" s="693">
        <f>[9]Feed!$F$5*1000/12</f>
        <v>134250</v>
      </c>
      <c r="AT15" s="694">
        <f>[9]Feed!$F$5*1000/12</f>
        <v>134250</v>
      </c>
      <c r="AU15" s="693">
        <f>[9]Feed!$F$5*1000/12</f>
        <v>134250</v>
      </c>
      <c r="AV15" s="693">
        <f>[9]Feed!$F$5*1000/12</f>
        <v>134250</v>
      </c>
      <c r="AW15" s="693">
        <f>[9]Feed!$F$5*1000/12</f>
        <v>134250</v>
      </c>
      <c r="AX15" s="693">
        <f>[9]Feed!$F$5*1000/12</f>
        <v>134250</v>
      </c>
      <c r="AY15" s="693">
        <f>[9]Feed!$F$5*1000/12</f>
        <v>134250</v>
      </c>
      <c r="AZ15" s="693">
        <f>[9]Feed!$F$5*1000/12</f>
        <v>134250</v>
      </c>
      <c r="BA15" s="693">
        <f>[9]Feed!$F$5*1000/12</f>
        <v>134250</v>
      </c>
      <c r="BB15" s="693">
        <f>[9]Feed!$F$5*1000/12</f>
        <v>134250</v>
      </c>
      <c r="BC15" s="693">
        <f>[9]Feed!$F$5*1000/12</f>
        <v>134250</v>
      </c>
      <c r="BD15" s="693">
        <f>[9]Feed!$F$5*1000/12</f>
        <v>134250</v>
      </c>
      <c r="BE15" s="693">
        <f>[9]Feed!$F$5*1000/12</f>
        <v>134250</v>
      </c>
      <c r="BF15" s="693">
        <f>[9]Feed!$F$5*1000/12</f>
        <v>134250</v>
      </c>
      <c r="BG15" s="693">
        <f>[9]Feed!$F$5*1000/12</f>
        <v>134250</v>
      </c>
      <c r="BH15" s="693">
        <f>[9]Feed!$F$5*1000/12</f>
        <v>134250</v>
      </c>
      <c r="BI15" s="693">
        <f>[9]Feed!$F$5*1000/12</f>
        <v>134250</v>
      </c>
      <c r="BJ15" s="693">
        <f>[9]Feed!$F$5*1000/12</f>
        <v>134250</v>
      </c>
      <c r="BK15" s="693">
        <f>[9]Feed!$F$5*1000/12</f>
        <v>134250</v>
      </c>
      <c r="BL15" s="693">
        <f>[9]Feed!$F$5*1000/12</f>
        <v>134250</v>
      </c>
      <c r="BM15" s="693">
        <f>[9]Feed!$F$5*1000/12</f>
        <v>134250</v>
      </c>
      <c r="BN15" s="693">
        <f>[9]Feed!$F$5*1000/12</f>
        <v>134250</v>
      </c>
      <c r="BO15" s="693">
        <f>[9]Feed!$F$5*1000/12</f>
        <v>134250</v>
      </c>
      <c r="BP15" s="693">
        <f>[9]Feed!$F$5*1000/12</f>
        <v>134250</v>
      </c>
      <c r="BQ15" s="693">
        <f>[9]Feed!$F$5*1000/12</f>
        <v>134250</v>
      </c>
      <c r="BR15" s="693">
        <f>[9]Feed!$F$5*1000/12</f>
        <v>134250</v>
      </c>
      <c r="BS15" s="693">
        <f>[9]Feed!$F$5*1000/12</f>
        <v>134250</v>
      </c>
      <c r="BT15" s="693">
        <f>[9]Feed!$F$5*1000/12</f>
        <v>134250</v>
      </c>
      <c r="BU15" s="693">
        <f>[9]Feed!$F$5*1000/12</f>
        <v>134250</v>
      </c>
      <c r="BV15" s="693">
        <f>[9]Feed!$F$5*1000/12</f>
        <v>134250</v>
      </c>
      <c r="BW15" s="693">
        <f>[9]Feed!$F$5*1000/12</f>
        <v>134250</v>
      </c>
      <c r="BX15" s="693">
        <f>[9]Feed!$F$5*1000/12</f>
        <v>134250</v>
      </c>
      <c r="BY15" s="693">
        <f>[9]Feed!$F$5*1000/12</f>
        <v>134250</v>
      </c>
      <c r="BZ15" s="693">
        <f>[9]Feed!$F$5*1000/12</f>
        <v>134250</v>
      </c>
      <c r="CA15" s="693">
        <f>[9]Feed!$F$5*1000/12</f>
        <v>134250</v>
      </c>
      <c r="CB15" s="693">
        <f>[9]Feed!$F$5*1000/12</f>
        <v>134250</v>
      </c>
      <c r="CC15" s="693">
        <f>[9]Feed!$F$5*1000/12</f>
        <v>134250</v>
      </c>
      <c r="CD15" s="693">
        <f>[9]Feed!$F$5*1000/12</f>
        <v>134250</v>
      </c>
      <c r="CE15" s="693">
        <f>[9]Feed!$F$5*1000/12</f>
        <v>134250</v>
      </c>
      <c r="CF15" s="693">
        <f>[9]Feed!$F$5*1000/12</f>
        <v>134250</v>
      </c>
      <c r="CG15" s="693">
        <f>[9]Feed!$F$5*1000/12</f>
        <v>134250</v>
      </c>
      <c r="CH15" s="693">
        <f>[9]Feed!$F$5*1000/12</f>
        <v>134250</v>
      </c>
      <c r="CI15" s="693">
        <f>[9]Feed!$F$5*1000/12</f>
        <v>134250</v>
      </c>
      <c r="CJ15" s="693">
        <f>[9]Feed!$F$5*1000/12</f>
        <v>134250</v>
      </c>
      <c r="CK15" s="693">
        <f>[9]Feed!$F$5*1000/12</f>
        <v>134250</v>
      </c>
      <c r="CL15" s="695">
        <f>[9]Feed!$F$5*1000/12</f>
        <v>134250</v>
      </c>
      <c r="CM15" s="685">
        <f t="shared" si="0"/>
        <v>134250</v>
      </c>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row>
    <row r="16" spans="1:178">
      <c r="A16" s="1041" t="s">
        <v>312</v>
      </c>
      <c r="B16" s="632" t="s">
        <v>309</v>
      </c>
      <c r="C16" s="633" t="s">
        <v>310</v>
      </c>
      <c r="D16" s="633"/>
      <c r="E16" s="1044" t="s">
        <v>313</v>
      </c>
      <c r="F16" s="696" t="s">
        <v>145</v>
      </c>
      <c r="G16" s="697">
        <f>G12*'Cracker Yields'!$H$3+'Cracker Yields'!$I$3*'Financial Model (84 Months)'!G13+'Financial Model (84 Months)'!G14*'Cracker Yields'!$J$3+'Cracker Yields'!$K$3*'Financial Model (84 Months)'!G15</f>
        <v>110689</v>
      </c>
      <c r="H16" s="697">
        <f>H12*'Cracker Yields'!$H$3+'Cracker Yields'!$I$3*'Financial Model (84 Months)'!H13+'Financial Model (84 Months)'!H14*'Cracker Yields'!$J$3+'Cracker Yields'!$K$3*'Financial Model (84 Months)'!H15</f>
        <v>110689</v>
      </c>
      <c r="I16" s="697">
        <f>I12*'Cracker Yields'!$H$3+'Cracker Yields'!$I$3*'Financial Model (84 Months)'!I13+'Financial Model (84 Months)'!I14*'Cracker Yields'!$J$3+'Cracker Yields'!$K$3*'Financial Model (84 Months)'!I15</f>
        <v>110689</v>
      </c>
      <c r="J16" s="697">
        <f>J12*'Cracker Yields'!$H$3+'Cracker Yields'!$I$3*'Financial Model (84 Months)'!J13+'Financial Model (84 Months)'!J14*'Cracker Yields'!$J$3+'Cracker Yields'!$K$3*'Financial Model (84 Months)'!J15</f>
        <v>110689</v>
      </c>
      <c r="K16" s="697">
        <f>K12*'Cracker Yields'!$H$3+'Cracker Yields'!$I$3*'Financial Model (84 Months)'!K13+'Financial Model (84 Months)'!K14*'Cracker Yields'!$J$3+'Cracker Yields'!$K$3*'Financial Model (84 Months)'!K15</f>
        <v>110689</v>
      </c>
      <c r="L16" s="697">
        <f>L12*'Cracker Yields'!$H$3+'Cracker Yields'!$I$3*'Financial Model (84 Months)'!L13+'Financial Model (84 Months)'!L14*'Cracker Yields'!$J$3+'Cracker Yields'!$K$3*'Financial Model (84 Months)'!L15</f>
        <v>110689</v>
      </c>
      <c r="M16" s="697">
        <f>M12*'Cracker Yields'!$H$3+'Cracker Yields'!$I$3*'Financial Model (84 Months)'!M13+'Financial Model (84 Months)'!M14*'Cracker Yields'!$J$3+'Cracker Yields'!$K$3*'Financial Model (84 Months)'!M15</f>
        <v>110689</v>
      </c>
      <c r="N16" s="697">
        <f>N12*'Cracker Yields'!$H$3+'Cracker Yields'!$I$3*'Financial Model (84 Months)'!N13+'Financial Model (84 Months)'!N14*'Cracker Yields'!$J$3+'Cracker Yields'!$K$3*'Financial Model (84 Months)'!N15</f>
        <v>110689</v>
      </c>
      <c r="O16" s="697">
        <f>O12*'Cracker Yields'!$H$3+'Cracker Yields'!$I$3*'Financial Model (84 Months)'!O13+'Financial Model (84 Months)'!O14*'Cracker Yields'!$J$3+'Cracker Yields'!$K$3*'Financial Model (84 Months)'!O15</f>
        <v>110689</v>
      </c>
      <c r="P16" s="697">
        <f>P12*'Cracker Yields'!$H$3+'Cracker Yields'!$I$3*'Financial Model (84 Months)'!P13+'Financial Model (84 Months)'!P14*'Cracker Yields'!$J$3+'Cracker Yields'!$K$3*'Financial Model (84 Months)'!P15</f>
        <v>110689</v>
      </c>
      <c r="Q16" s="697">
        <f>Q12*'Cracker Yields'!$H$3+'Cracker Yields'!$I$3*'Financial Model (84 Months)'!Q13+'Financial Model (84 Months)'!Q14*'Cracker Yields'!$J$3+'Cracker Yields'!$K$3*'Financial Model (84 Months)'!Q15</f>
        <v>110689</v>
      </c>
      <c r="R16" s="697">
        <f>R12*'Cracker Yields'!$H$3+'Cracker Yields'!$I$3*'Financial Model (84 Months)'!R13+'Financial Model (84 Months)'!R14*'Cracker Yields'!$J$3+'Cracker Yields'!$K$3*'Financial Model (84 Months)'!R15</f>
        <v>110689</v>
      </c>
      <c r="S16" s="697">
        <f>S12*'Cracker Yields'!$H$3+'Cracker Yields'!$I$3*'Financial Model (84 Months)'!S13+'Financial Model (84 Months)'!S14*'Cracker Yields'!$J$3+'Cracker Yields'!$K$3*'Financial Model (84 Months)'!S15</f>
        <v>110689</v>
      </c>
      <c r="T16" s="697">
        <f>T12*'Cracker Yields'!$H$3+'Cracker Yields'!$I$3*'Financial Model (84 Months)'!T13+'Financial Model (84 Months)'!T14*'Cracker Yields'!$J$3+'Cracker Yields'!$K$3*'Financial Model (84 Months)'!T15</f>
        <v>110689</v>
      </c>
      <c r="U16" s="697">
        <f>U12*'Cracker Yields'!$H$3+'Cracker Yields'!$I$3*'Financial Model (84 Months)'!U13+'Financial Model (84 Months)'!U14*'Cracker Yields'!$J$3+'Cracker Yields'!$K$3*'Financial Model (84 Months)'!U15</f>
        <v>110689</v>
      </c>
      <c r="V16" s="697">
        <f>V12*'Cracker Yields'!$H$3+'Cracker Yields'!$I$3*'Financial Model (84 Months)'!V13+'Financial Model (84 Months)'!V14*'Cracker Yields'!$J$3+'Cracker Yields'!$K$3*'Financial Model (84 Months)'!V15</f>
        <v>110689</v>
      </c>
      <c r="W16" s="697">
        <f>W12*'Cracker Yields'!$H$3+'Cracker Yields'!$I$3*'Financial Model (84 Months)'!W13+'Financial Model (84 Months)'!W14*'Cracker Yields'!$J$3+'Cracker Yields'!$K$3*'Financial Model (84 Months)'!W15</f>
        <v>110689</v>
      </c>
      <c r="X16" s="697">
        <f>X12*'Cracker Yields'!$H$3+'Cracker Yields'!$I$3*'Financial Model (84 Months)'!X13+'Financial Model (84 Months)'!X14*'Cracker Yields'!$J$3+'Cracker Yields'!$K$3*'Financial Model (84 Months)'!X15</f>
        <v>110689</v>
      </c>
      <c r="Y16" s="697">
        <f>Y12*'Cracker Yields'!$H$3+'Cracker Yields'!$I$3*'Financial Model (84 Months)'!Y13+'Financial Model (84 Months)'!Y14*'Cracker Yields'!$J$3+'Cracker Yields'!$K$3*'Financial Model (84 Months)'!Y15</f>
        <v>110689</v>
      </c>
      <c r="Z16" s="697">
        <f>Z12*'Cracker Yields'!$H$3+'Cracker Yields'!$I$3*'Financial Model (84 Months)'!Z13+'Financial Model (84 Months)'!Z14*'Cracker Yields'!$J$3+'Cracker Yields'!$K$3*'Financial Model (84 Months)'!Z15</f>
        <v>110689</v>
      </c>
      <c r="AA16" s="697">
        <f>AA12*'Cracker Yields'!$H$3+'Cracker Yields'!$I$3*'Financial Model (84 Months)'!AA13+'Financial Model (84 Months)'!AA14*'Cracker Yields'!$J$3+'Cracker Yields'!$K$3*'Financial Model (84 Months)'!AA15</f>
        <v>110689</v>
      </c>
      <c r="AB16" s="697">
        <f>AB12*'Cracker Yields'!$H$3+'Cracker Yields'!$I$3*'Financial Model (84 Months)'!AB13+'Financial Model (84 Months)'!AB14*'Cracker Yields'!$J$3+'Cracker Yields'!$K$3*'Financial Model (84 Months)'!AB15</f>
        <v>110689</v>
      </c>
      <c r="AC16" s="697">
        <f>AC12*'Cracker Yields'!$H$3+'Cracker Yields'!$I$3*'Financial Model (84 Months)'!AC13+'Financial Model (84 Months)'!AC14*'Cracker Yields'!$J$3+'Cracker Yields'!$K$3*'Financial Model (84 Months)'!AC15</f>
        <v>110689</v>
      </c>
      <c r="AD16" s="697">
        <f>AD12*'Cracker Yields'!$H$3+'Cracker Yields'!$I$3*'Financial Model (84 Months)'!AD13+'Financial Model (84 Months)'!AD14*'Cracker Yields'!$J$3+'Cracker Yields'!$K$3*'Financial Model (84 Months)'!AD15</f>
        <v>110689</v>
      </c>
      <c r="AE16" s="697">
        <f>AE12*'Cracker Yields'!$H$3+'Cracker Yields'!$I$3*'Financial Model (84 Months)'!AE13+'Financial Model (84 Months)'!AE14*'Cracker Yields'!$J$3+'Cracker Yields'!$K$3*'Financial Model (84 Months)'!AE15</f>
        <v>110689</v>
      </c>
      <c r="AF16" s="697">
        <f>AF12*'Cracker Yields'!$H$3+'Cracker Yields'!$I$3*'Financial Model (84 Months)'!AF13+'Financial Model (84 Months)'!AF14*'Cracker Yields'!$J$3+'Cracker Yields'!$K$3*'Financial Model (84 Months)'!AF15</f>
        <v>110689</v>
      </c>
      <c r="AG16" s="697">
        <f>AG12*'Cracker Yields'!$H$3+'Cracker Yields'!$I$3*'Financial Model (84 Months)'!AG13+'Financial Model (84 Months)'!AG14*'Cracker Yields'!$J$3+'Cracker Yields'!$K$3*'Financial Model (84 Months)'!AG15</f>
        <v>110689</v>
      </c>
      <c r="AH16" s="697">
        <f>AH12*'Cracker Yields'!$H$3+'Cracker Yields'!$I$3*'Financial Model (84 Months)'!AH13+'Financial Model (84 Months)'!AH14*'Cracker Yields'!$J$3+'Cracker Yields'!$K$3*'Financial Model (84 Months)'!AH15</f>
        <v>110689</v>
      </c>
      <c r="AI16" s="697">
        <f>AI12*'Cracker Yields'!$H$3+'Cracker Yields'!$I$3*'Financial Model (84 Months)'!AI13+'Financial Model (84 Months)'!AI14*'Cracker Yields'!$J$3+'Cracker Yields'!$K$3*'Financial Model (84 Months)'!AI15</f>
        <v>110689</v>
      </c>
      <c r="AJ16" s="697">
        <f>AJ12*'Cracker Yields'!$H$3+'Cracker Yields'!$I$3*'Financial Model (84 Months)'!AJ13+'Financial Model (84 Months)'!AJ14*'Cracker Yields'!$J$3+'Cracker Yields'!$K$3*'Financial Model (84 Months)'!AJ15</f>
        <v>110689</v>
      </c>
      <c r="AK16" s="697">
        <f>AK12*'Cracker Yields'!$H$3+'Cracker Yields'!$I$3*'Financial Model (84 Months)'!AK13+'Financial Model (84 Months)'!AK14*'Cracker Yields'!$J$3+'Cracker Yields'!$K$3*'Financial Model (84 Months)'!AK15</f>
        <v>110689</v>
      </c>
      <c r="AL16" s="697">
        <f>AL12*'Cracker Yields'!$H$3+'Cracker Yields'!$I$3*'Financial Model (84 Months)'!AL13+'Financial Model (84 Months)'!AL14*'Cracker Yields'!$J$3+'Cracker Yields'!$K$3*'Financial Model (84 Months)'!AL15</f>
        <v>110689</v>
      </c>
      <c r="AM16" s="697">
        <f>AM12*'Cracker Yields'!$H$3+'Cracker Yields'!$I$3*'Financial Model (84 Months)'!AM13+'Financial Model (84 Months)'!AM14*'Cracker Yields'!$J$3+'Cracker Yields'!$K$3*'Financial Model (84 Months)'!AM15</f>
        <v>110689</v>
      </c>
      <c r="AN16" s="697">
        <f>AN12*'Cracker Yields'!$H$3+'Cracker Yields'!$I$3*'Financial Model (84 Months)'!AN13+'Financial Model (84 Months)'!AN14*'Cracker Yields'!$J$3+'Cracker Yields'!$K$3*'Financial Model (84 Months)'!AN15</f>
        <v>110689</v>
      </c>
      <c r="AO16" s="697">
        <f>AO12*'Cracker Yields'!$H$3+'Cracker Yields'!$I$3*'Financial Model (84 Months)'!AO13+'Financial Model (84 Months)'!AO14*'Cracker Yields'!$J$3+'Cracker Yields'!$K$3*'Financial Model (84 Months)'!AO15</f>
        <v>110689</v>
      </c>
      <c r="AP16" s="697">
        <f>AP12*'Cracker Yields'!$H$3+'Cracker Yields'!$I$3*'Financial Model (84 Months)'!AP13+'Financial Model (84 Months)'!AP14*'Cracker Yields'!$J$3+'Cracker Yields'!$K$3*'Financial Model (84 Months)'!AP15</f>
        <v>110689</v>
      </c>
      <c r="AQ16" s="697">
        <f>AQ12*'Cracker Yields'!$H$3+'Cracker Yields'!$I$3*'Financial Model (84 Months)'!AQ13+'Financial Model (84 Months)'!AQ14*'Cracker Yields'!$J$3+'Cracker Yields'!$K$3*'Financial Model (84 Months)'!AQ15</f>
        <v>110689</v>
      </c>
      <c r="AR16" s="697">
        <f>AR12*'Cracker Yields'!$H$3+'Cracker Yields'!$I$3*'Financial Model (84 Months)'!AR13+'Financial Model (84 Months)'!AR14*'Cracker Yields'!$J$3+'Cracker Yields'!$K$3*'Financial Model (84 Months)'!AR15</f>
        <v>110689</v>
      </c>
      <c r="AS16" s="697">
        <f>AS12*'Cracker Yields'!$H$3+'Cracker Yields'!$I$3*'Financial Model (84 Months)'!AS13+'Financial Model (84 Months)'!AS14*'Cracker Yields'!$J$3+'Cracker Yields'!$K$3*'Financial Model (84 Months)'!AS15</f>
        <v>110689</v>
      </c>
      <c r="AT16" s="697">
        <f>AT12*'Cracker Yields'!$H$3+'Cracker Yields'!$I$3*'Financial Model (84 Months)'!AT13+'Financial Model (84 Months)'!AT14*'Cracker Yields'!$J$3+'Cracker Yields'!$K$3*'Financial Model (84 Months)'!AT15</f>
        <v>110689</v>
      </c>
      <c r="AU16" s="697">
        <f>AU12*'Cracker Yields'!$H$3+'Cracker Yields'!$I$3*'Financial Model (84 Months)'!AU13+'Financial Model (84 Months)'!AU14*'Cracker Yields'!$J$3+'Cracker Yields'!$K$3*'Financial Model (84 Months)'!AU15</f>
        <v>110689</v>
      </c>
      <c r="AV16" s="697">
        <f>AV12*'Cracker Yields'!$H$3+'Cracker Yields'!$I$3*'Financial Model (84 Months)'!AV13+'Financial Model (84 Months)'!AV14*'Cracker Yields'!$J$3+'Cracker Yields'!$K$3*'Financial Model (84 Months)'!AV15</f>
        <v>110689</v>
      </c>
      <c r="AW16" s="697">
        <f>AW12*'Cracker Yields'!$H$3+'Cracker Yields'!$I$3*'Financial Model (84 Months)'!AW13+'Financial Model (84 Months)'!AW14*'Cracker Yields'!$J$3+'Cracker Yields'!$K$3*'Financial Model (84 Months)'!AW15</f>
        <v>110689</v>
      </c>
      <c r="AX16" s="697">
        <f>AX12*'Cracker Yields'!$H$3+'Cracker Yields'!$I$3*'Financial Model (84 Months)'!AX13+'Financial Model (84 Months)'!AX14*'Cracker Yields'!$J$3+'Cracker Yields'!$K$3*'Financial Model (84 Months)'!AX15</f>
        <v>110689</v>
      </c>
      <c r="AY16" s="697">
        <f>AY12*'Cracker Yields'!$H$3+'Cracker Yields'!$I$3*'Financial Model (84 Months)'!AY13+'Financial Model (84 Months)'!AY14*'Cracker Yields'!$J$3+'Cracker Yields'!$K$3*'Financial Model (84 Months)'!AY15</f>
        <v>110689</v>
      </c>
      <c r="AZ16" s="697">
        <f>AZ12*'Cracker Yields'!$H$3+'Cracker Yields'!$I$3*'Financial Model (84 Months)'!AZ13+'Financial Model (84 Months)'!AZ14*'Cracker Yields'!$J$3+'Cracker Yields'!$K$3*'Financial Model (84 Months)'!AZ15</f>
        <v>110689</v>
      </c>
      <c r="BA16" s="697">
        <f>BA12*'Cracker Yields'!$H$3+'Cracker Yields'!$I$3*'Financial Model (84 Months)'!BA13+'Financial Model (84 Months)'!BA14*'Cracker Yields'!$J$3+'Cracker Yields'!$K$3*'Financial Model (84 Months)'!BA15</f>
        <v>110689</v>
      </c>
      <c r="BB16" s="697">
        <f>BB12*'Cracker Yields'!$H$3+'Cracker Yields'!$I$3*'Financial Model (84 Months)'!BB13+'Financial Model (84 Months)'!BB14*'Cracker Yields'!$J$3+'Cracker Yields'!$K$3*'Financial Model (84 Months)'!BB15</f>
        <v>110689</v>
      </c>
      <c r="BC16" s="697">
        <f>BC12*'Cracker Yields'!$H$3+'Cracker Yields'!$I$3*'Financial Model (84 Months)'!BC13+'Financial Model (84 Months)'!BC14*'Cracker Yields'!$J$3+'Cracker Yields'!$K$3*'Financial Model (84 Months)'!BC15</f>
        <v>110689</v>
      </c>
      <c r="BD16" s="697">
        <f>BD12*'Cracker Yields'!$H$3+'Cracker Yields'!$I$3*'Financial Model (84 Months)'!BD13+'Financial Model (84 Months)'!BD14*'Cracker Yields'!$J$3+'Cracker Yields'!$K$3*'Financial Model (84 Months)'!BD15</f>
        <v>110689</v>
      </c>
      <c r="BE16" s="697">
        <f>BE12*'Cracker Yields'!$H$3+'Cracker Yields'!$I$3*'Financial Model (84 Months)'!BE13+'Financial Model (84 Months)'!BE14*'Cracker Yields'!$J$3+'Cracker Yields'!$K$3*'Financial Model (84 Months)'!BE15</f>
        <v>110689</v>
      </c>
      <c r="BF16" s="697">
        <f>BF12*'Cracker Yields'!$H$3+'Cracker Yields'!$I$3*'Financial Model (84 Months)'!BF13+'Financial Model (84 Months)'!BF14*'Cracker Yields'!$J$3+'Cracker Yields'!$K$3*'Financial Model (84 Months)'!BF15</f>
        <v>110689</v>
      </c>
      <c r="BG16" s="697">
        <f>BG12*'Cracker Yields'!$H$3+'Cracker Yields'!$I$3*'Financial Model (84 Months)'!BG13+'Financial Model (84 Months)'!BG14*'Cracker Yields'!$J$3+'Cracker Yields'!$K$3*'Financial Model (84 Months)'!BG15</f>
        <v>110689</v>
      </c>
      <c r="BH16" s="697">
        <f>BH12*'Cracker Yields'!$H$3+'Cracker Yields'!$I$3*'Financial Model (84 Months)'!BH13+'Financial Model (84 Months)'!BH14*'Cracker Yields'!$J$3+'Cracker Yields'!$K$3*'Financial Model (84 Months)'!BH15</f>
        <v>110689</v>
      </c>
      <c r="BI16" s="697">
        <f>BI12*'Cracker Yields'!$H$3+'Cracker Yields'!$I$3*'Financial Model (84 Months)'!BI13+'Financial Model (84 Months)'!BI14*'Cracker Yields'!$J$3+'Cracker Yields'!$K$3*'Financial Model (84 Months)'!BI15</f>
        <v>110689</v>
      </c>
      <c r="BJ16" s="697">
        <f>BJ12*'Cracker Yields'!$H$3+'Cracker Yields'!$I$3*'Financial Model (84 Months)'!BJ13+'Financial Model (84 Months)'!BJ14*'Cracker Yields'!$J$3+'Cracker Yields'!$K$3*'Financial Model (84 Months)'!BJ15</f>
        <v>110689</v>
      </c>
      <c r="BK16" s="697">
        <f>BK12*'Cracker Yields'!$H$3+'Cracker Yields'!$I$3*'Financial Model (84 Months)'!BK13+'Financial Model (84 Months)'!BK14*'Cracker Yields'!$J$3+'Cracker Yields'!$K$3*'Financial Model (84 Months)'!BK15</f>
        <v>110689</v>
      </c>
      <c r="BL16" s="697">
        <f>BL12*'Cracker Yields'!$H$3+'Cracker Yields'!$I$3*'Financial Model (84 Months)'!BL13+'Financial Model (84 Months)'!BL14*'Cracker Yields'!$J$3+'Cracker Yields'!$K$3*'Financial Model (84 Months)'!BL15</f>
        <v>110689</v>
      </c>
      <c r="BM16" s="697">
        <f>BM12*'Cracker Yields'!$H$3+'Cracker Yields'!$I$3*'Financial Model (84 Months)'!BM13+'Financial Model (84 Months)'!BM14*'Cracker Yields'!$J$3+'Cracker Yields'!$K$3*'Financial Model (84 Months)'!BM15</f>
        <v>110689</v>
      </c>
      <c r="BN16" s="697">
        <f>BN12*'Cracker Yields'!$H$3+'Cracker Yields'!$I$3*'Financial Model (84 Months)'!BN13+'Financial Model (84 Months)'!BN14*'Cracker Yields'!$J$3+'Cracker Yields'!$K$3*'Financial Model (84 Months)'!BN15</f>
        <v>110689</v>
      </c>
      <c r="BO16" s="697">
        <f>BO12*'Cracker Yields'!$H$3+'Cracker Yields'!$I$3*'Financial Model (84 Months)'!BO13+'Financial Model (84 Months)'!BO14*'Cracker Yields'!$J$3+'Cracker Yields'!$K$3*'Financial Model (84 Months)'!BO15</f>
        <v>110689</v>
      </c>
      <c r="BP16" s="697">
        <f>BP12*'Cracker Yields'!$H$3+'Cracker Yields'!$I$3*'Financial Model (84 Months)'!BP13+'Financial Model (84 Months)'!BP14*'Cracker Yields'!$J$3+'Cracker Yields'!$K$3*'Financial Model (84 Months)'!BP15</f>
        <v>110689</v>
      </c>
      <c r="BQ16" s="697">
        <f>BQ12*'Cracker Yields'!$H$3+'Cracker Yields'!$I$3*'Financial Model (84 Months)'!BQ13+'Financial Model (84 Months)'!BQ14*'Cracker Yields'!$J$3+'Cracker Yields'!$K$3*'Financial Model (84 Months)'!BQ15</f>
        <v>110689</v>
      </c>
      <c r="BR16" s="697">
        <f>BR12*'Cracker Yields'!$H$3+'Cracker Yields'!$I$3*'Financial Model (84 Months)'!BR13+'Financial Model (84 Months)'!BR14*'Cracker Yields'!$J$3+'Cracker Yields'!$K$3*'Financial Model (84 Months)'!BR15</f>
        <v>110689</v>
      </c>
      <c r="BS16" s="697">
        <f>BS12*'Cracker Yields'!$H$3+'Cracker Yields'!$I$3*'Financial Model (84 Months)'!BS13+'Financial Model (84 Months)'!BS14*'Cracker Yields'!$J$3+'Cracker Yields'!$K$3*'Financial Model (84 Months)'!BS15</f>
        <v>110689</v>
      </c>
      <c r="BT16" s="697">
        <f>BT12*'Cracker Yields'!$H$3+'Cracker Yields'!$I$3*'Financial Model (84 Months)'!BT13+'Financial Model (84 Months)'!BT14*'Cracker Yields'!$J$3+'Cracker Yields'!$K$3*'Financial Model (84 Months)'!BT15</f>
        <v>110689</v>
      </c>
      <c r="BU16" s="697">
        <f>BU12*'Cracker Yields'!$H$3+'Cracker Yields'!$I$3*'Financial Model (84 Months)'!BU13+'Financial Model (84 Months)'!BU14*'Cracker Yields'!$J$3+'Cracker Yields'!$K$3*'Financial Model (84 Months)'!BU15</f>
        <v>110689</v>
      </c>
      <c r="BV16" s="697">
        <f>BV12*'Cracker Yields'!$H$3+'Cracker Yields'!$I$3*'Financial Model (84 Months)'!BV13+'Financial Model (84 Months)'!BV14*'Cracker Yields'!$J$3+'Cracker Yields'!$K$3*'Financial Model (84 Months)'!BV15</f>
        <v>110689</v>
      </c>
      <c r="BW16" s="697">
        <f>BW12*'Cracker Yields'!$H$3+'Cracker Yields'!$I$3*'Financial Model (84 Months)'!BW13+'Financial Model (84 Months)'!BW14*'Cracker Yields'!$J$3+'Cracker Yields'!$K$3*'Financial Model (84 Months)'!BW15</f>
        <v>110689</v>
      </c>
      <c r="BX16" s="697">
        <f>BX12*'Cracker Yields'!$H$3+'Cracker Yields'!$I$3*'Financial Model (84 Months)'!BX13+'Financial Model (84 Months)'!BX14*'Cracker Yields'!$J$3+'Cracker Yields'!$K$3*'Financial Model (84 Months)'!BX15</f>
        <v>110689</v>
      </c>
      <c r="BY16" s="697">
        <f>BY12*'Cracker Yields'!$H$3+'Cracker Yields'!$I$3*'Financial Model (84 Months)'!BY13+'Financial Model (84 Months)'!BY14*'Cracker Yields'!$J$3+'Cracker Yields'!$K$3*'Financial Model (84 Months)'!BY15</f>
        <v>110689</v>
      </c>
      <c r="BZ16" s="697">
        <f>BZ12*'Cracker Yields'!$H$3+'Cracker Yields'!$I$3*'Financial Model (84 Months)'!BZ13+'Financial Model (84 Months)'!BZ14*'Cracker Yields'!$J$3+'Cracker Yields'!$K$3*'Financial Model (84 Months)'!BZ15</f>
        <v>110689</v>
      </c>
      <c r="CA16" s="697">
        <f>CA12*'Cracker Yields'!$H$3+'Cracker Yields'!$I$3*'Financial Model (84 Months)'!CA13+'Financial Model (84 Months)'!CA14*'Cracker Yields'!$J$3+'Cracker Yields'!$K$3*'Financial Model (84 Months)'!CA15</f>
        <v>110689</v>
      </c>
      <c r="CB16" s="697">
        <f>CB12*'Cracker Yields'!$H$3+'Cracker Yields'!$I$3*'Financial Model (84 Months)'!CB13+'Financial Model (84 Months)'!CB14*'Cracker Yields'!$J$3+'Cracker Yields'!$K$3*'Financial Model (84 Months)'!CB15</f>
        <v>110689</v>
      </c>
      <c r="CC16" s="697">
        <f>CC12*'Cracker Yields'!$H$3+'Cracker Yields'!$I$3*'Financial Model (84 Months)'!CC13+'Financial Model (84 Months)'!CC14*'Cracker Yields'!$J$3+'Cracker Yields'!$K$3*'Financial Model (84 Months)'!CC15</f>
        <v>110689</v>
      </c>
      <c r="CD16" s="697">
        <f>CD12*'Cracker Yields'!$H$3+'Cracker Yields'!$I$3*'Financial Model (84 Months)'!CD13+'Financial Model (84 Months)'!CD14*'Cracker Yields'!$J$3+'Cracker Yields'!$K$3*'Financial Model (84 Months)'!CD15</f>
        <v>110689</v>
      </c>
      <c r="CE16" s="697">
        <f>CE12*'Cracker Yields'!$H$3+'Cracker Yields'!$I$3*'Financial Model (84 Months)'!CE13+'Financial Model (84 Months)'!CE14*'Cracker Yields'!$J$3+'Cracker Yields'!$K$3*'Financial Model (84 Months)'!CE15</f>
        <v>110689</v>
      </c>
      <c r="CF16" s="697">
        <f>CF12*'Cracker Yields'!$H$3+'Cracker Yields'!$I$3*'Financial Model (84 Months)'!CF13+'Financial Model (84 Months)'!CF14*'Cracker Yields'!$J$3+'Cracker Yields'!$K$3*'Financial Model (84 Months)'!CF15</f>
        <v>110689</v>
      </c>
      <c r="CG16" s="697">
        <f>CG12*'Cracker Yields'!$H$3+'Cracker Yields'!$I$3*'Financial Model (84 Months)'!CG13+'Financial Model (84 Months)'!CG14*'Cracker Yields'!$J$3+'Cracker Yields'!$K$3*'Financial Model (84 Months)'!CG15</f>
        <v>110689</v>
      </c>
      <c r="CH16" s="697">
        <f>CH12*'Cracker Yields'!$H$3+'Cracker Yields'!$I$3*'Financial Model (84 Months)'!CH13+'Financial Model (84 Months)'!CH14*'Cracker Yields'!$J$3+'Cracker Yields'!$K$3*'Financial Model (84 Months)'!CH15</f>
        <v>110689</v>
      </c>
      <c r="CI16" s="697">
        <f>CI12*'Cracker Yields'!$H$3+'Cracker Yields'!$I$3*'Financial Model (84 Months)'!CI13+'Financial Model (84 Months)'!CI14*'Cracker Yields'!$J$3+'Cracker Yields'!$K$3*'Financial Model (84 Months)'!CI15</f>
        <v>110689</v>
      </c>
      <c r="CJ16" s="697">
        <f>CJ12*'Cracker Yields'!$H$3+'Cracker Yields'!$I$3*'Financial Model (84 Months)'!CJ13+'Financial Model (84 Months)'!CJ14*'Cracker Yields'!$J$3+'Cracker Yields'!$K$3*'Financial Model (84 Months)'!CJ15</f>
        <v>110689</v>
      </c>
      <c r="CK16" s="697">
        <f>CK12*'Cracker Yields'!$H$3+'Cracker Yields'!$I$3*'Financial Model (84 Months)'!CK13+'Financial Model (84 Months)'!CK14*'Cracker Yields'!$J$3+'Cracker Yields'!$K$3*'Financial Model (84 Months)'!CK15</f>
        <v>110689</v>
      </c>
      <c r="CL16" s="697">
        <f>CL12*'Cracker Yields'!$H$3+'Cracker Yields'!$I$3*'Financial Model (84 Months)'!CL13+'Financial Model (84 Months)'!CL14*'Cracker Yields'!$J$3+'Cracker Yields'!$K$3*'Financial Model (84 Months)'!CL15</f>
        <v>110689</v>
      </c>
      <c r="CM16" s="636">
        <f t="shared" si="0"/>
        <v>110689</v>
      </c>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row>
    <row r="17" spans="1:178">
      <c r="A17" s="1042"/>
      <c r="B17" s="639" t="s">
        <v>309</v>
      </c>
      <c r="C17" s="640" t="s">
        <v>310</v>
      </c>
      <c r="D17" s="640"/>
      <c r="E17" s="1045"/>
      <c r="F17" s="698" t="s">
        <v>2</v>
      </c>
      <c r="G17" s="697">
        <f>G12*'Cracker Yields'!$H$4+'Cracker Yields'!$I$4*'Financial Model (84 Months)'!G13+'Financial Model (84 Months)'!G14*'Cracker Yields'!$J$4+'Cracker Yields'!$K$4*'Financial Model (84 Months)'!G15</f>
        <v>47206.166666666664</v>
      </c>
      <c r="H17" s="697">
        <f>H12*'Cracker Yields'!$H$4+'Cracker Yields'!$I$4*'Financial Model (84 Months)'!H13+'Financial Model (84 Months)'!H14*'Cracker Yields'!$J$4+'Cracker Yields'!$K$4*'Financial Model (84 Months)'!H15</f>
        <v>47206.166666666664</v>
      </c>
      <c r="I17" s="697">
        <f>I12*'Cracker Yields'!$H$4+'Cracker Yields'!$I$4*'Financial Model (84 Months)'!I13+'Financial Model (84 Months)'!I14*'Cracker Yields'!$J$4+'Cracker Yields'!$K$4*'Financial Model (84 Months)'!I15</f>
        <v>47206.166666666664</v>
      </c>
      <c r="J17" s="697">
        <f>J12*'Cracker Yields'!$H$4+'Cracker Yields'!$I$4*'Financial Model (84 Months)'!J13+'Financial Model (84 Months)'!J14*'Cracker Yields'!$J$4+'Cracker Yields'!$K$4*'Financial Model (84 Months)'!J15</f>
        <v>47206.166666666664</v>
      </c>
      <c r="K17" s="697">
        <f>K12*'Cracker Yields'!$H$4+'Cracker Yields'!$I$4*'Financial Model (84 Months)'!K13+'Financial Model (84 Months)'!K14*'Cracker Yields'!$J$4+'Cracker Yields'!$K$4*'Financial Model (84 Months)'!K15</f>
        <v>47206.166666666664</v>
      </c>
      <c r="L17" s="697">
        <f>L12*'Cracker Yields'!$H$4+'Cracker Yields'!$I$4*'Financial Model (84 Months)'!L13+'Financial Model (84 Months)'!L14*'Cracker Yields'!$J$4+'Cracker Yields'!$K$4*'Financial Model (84 Months)'!L15</f>
        <v>47206.166666666664</v>
      </c>
      <c r="M17" s="697">
        <f>M12*'Cracker Yields'!$H$4+'Cracker Yields'!$I$4*'Financial Model (84 Months)'!M13+'Financial Model (84 Months)'!M14*'Cracker Yields'!$J$4+'Cracker Yields'!$K$4*'Financial Model (84 Months)'!M15</f>
        <v>47206.166666666664</v>
      </c>
      <c r="N17" s="697">
        <f>N12*'Cracker Yields'!$H$4+'Cracker Yields'!$I$4*'Financial Model (84 Months)'!N13+'Financial Model (84 Months)'!N14*'Cracker Yields'!$J$4+'Cracker Yields'!$K$4*'Financial Model (84 Months)'!N15</f>
        <v>47206.166666666664</v>
      </c>
      <c r="O17" s="697">
        <f>O12*'Cracker Yields'!$H$4+'Cracker Yields'!$I$4*'Financial Model (84 Months)'!O13+'Financial Model (84 Months)'!O14*'Cracker Yields'!$J$4+'Cracker Yields'!$K$4*'Financial Model (84 Months)'!O15</f>
        <v>47206.166666666664</v>
      </c>
      <c r="P17" s="697">
        <f>P12*'Cracker Yields'!$H$4+'Cracker Yields'!$I$4*'Financial Model (84 Months)'!P13+'Financial Model (84 Months)'!P14*'Cracker Yields'!$J$4+'Cracker Yields'!$K$4*'Financial Model (84 Months)'!P15</f>
        <v>47206.166666666664</v>
      </c>
      <c r="Q17" s="697">
        <f>Q12*'Cracker Yields'!$H$4+'Cracker Yields'!$I$4*'Financial Model (84 Months)'!Q13+'Financial Model (84 Months)'!Q14*'Cracker Yields'!$J$4+'Cracker Yields'!$K$4*'Financial Model (84 Months)'!Q15</f>
        <v>47206.166666666664</v>
      </c>
      <c r="R17" s="697">
        <f>R12*'Cracker Yields'!$H$4+'Cracker Yields'!$I$4*'Financial Model (84 Months)'!R13+'Financial Model (84 Months)'!R14*'Cracker Yields'!$J$4+'Cracker Yields'!$K$4*'Financial Model (84 Months)'!R15</f>
        <v>47206.166666666664</v>
      </c>
      <c r="S17" s="697">
        <f>S12*'Cracker Yields'!$H$4+'Cracker Yields'!$I$4*'Financial Model (84 Months)'!S13+'Financial Model (84 Months)'!S14*'Cracker Yields'!$J$4+'Cracker Yields'!$K$4*'Financial Model (84 Months)'!S15</f>
        <v>47206.166666666664</v>
      </c>
      <c r="T17" s="697">
        <f>T12*'Cracker Yields'!$H$4+'Cracker Yields'!$I$4*'Financial Model (84 Months)'!T13+'Financial Model (84 Months)'!T14*'Cracker Yields'!$J$4+'Cracker Yields'!$K$4*'Financial Model (84 Months)'!T15</f>
        <v>47206.166666666664</v>
      </c>
      <c r="U17" s="697">
        <f>U12*'Cracker Yields'!$H$4+'Cracker Yields'!$I$4*'Financial Model (84 Months)'!U13+'Financial Model (84 Months)'!U14*'Cracker Yields'!$J$4+'Cracker Yields'!$K$4*'Financial Model (84 Months)'!U15</f>
        <v>47206.166666666664</v>
      </c>
      <c r="V17" s="697">
        <f>V12*'Cracker Yields'!$H$4+'Cracker Yields'!$I$4*'Financial Model (84 Months)'!V13+'Financial Model (84 Months)'!V14*'Cracker Yields'!$J$4+'Cracker Yields'!$K$4*'Financial Model (84 Months)'!V15</f>
        <v>47206.166666666664</v>
      </c>
      <c r="W17" s="697">
        <f>W12*'Cracker Yields'!$H$4+'Cracker Yields'!$I$4*'Financial Model (84 Months)'!W13+'Financial Model (84 Months)'!W14*'Cracker Yields'!$J$4+'Cracker Yields'!$K$4*'Financial Model (84 Months)'!W15</f>
        <v>47206.166666666664</v>
      </c>
      <c r="X17" s="697">
        <f>X12*'Cracker Yields'!$H$4+'Cracker Yields'!$I$4*'Financial Model (84 Months)'!X13+'Financial Model (84 Months)'!X14*'Cracker Yields'!$J$4+'Cracker Yields'!$K$4*'Financial Model (84 Months)'!X15</f>
        <v>47206.166666666664</v>
      </c>
      <c r="Y17" s="697">
        <f>Y12*'Cracker Yields'!$H$4+'Cracker Yields'!$I$4*'Financial Model (84 Months)'!Y13+'Financial Model (84 Months)'!Y14*'Cracker Yields'!$J$4+'Cracker Yields'!$K$4*'Financial Model (84 Months)'!Y15</f>
        <v>47206.166666666664</v>
      </c>
      <c r="Z17" s="697">
        <f>Z12*'Cracker Yields'!$H$4+'Cracker Yields'!$I$4*'Financial Model (84 Months)'!Z13+'Financial Model (84 Months)'!Z14*'Cracker Yields'!$J$4+'Cracker Yields'!$K$4*'Financial Model (84 Months)'!Z15</f>
        <v>47206.166666666664</v>
      </c>
      <c r="AA17" s="697">
        <f>AA12*'Cracker Yields'!$H$4+'Cracker Yields'!$I$4*'Financial Model (84 Months)'!AA13+'Financial Model (84 Months)'!AA14*'Cracker Yields'!$J$4+'Cracker Yields'!$K$4*'Financial Model (84 Months)'!AA15</f>
        <v>47206.166666666664</v>
      </c>
      <c r="AB17" s="697">
        <f>AB12*'Cracker Yields'!$H$4+'Cracker Yields'!$I$4*'Financial Model (84 Months)'!AB13+'Financial Model (84 Months)'!AB14*'Cracker Yields'!$J$4+'Cracker Yields'!$K$4*'Financial Model (84 Months)'!AB15</f>
        <v>47206.166666666664</v>
      </c>
      <c r="AC17" s="697">
        <f>AC12*'Cracker Yields'!$H$4+'Cracker Yields'!$I$4*'Financial Model (84 Months)'!AC13+'Financial Model (84 Months)'!AC14*'Cracker Yields'!$J$4+'Cracker Yields'!$K$4*'Financial Model (84 Months)'!AC15</f>
        <v>47206.166666666664</v>
      </c>
      <c r="AD17" s="697">
        <f>AD12*'Cracker Yields'!$H$4+'Cracker Yields'!$I$4*'Financial Model (84 Months)'!AD13+'Financial Model (84 Months)'!AD14*'Cracker Yields'!$J$4+'Cracker Yields'!$K$4*'Financial Model (84 Months)'!AD15</f>
        <v>47206.166666666664</v>
      </c>
      <c r="AE17" s="697">
        <f>AE12*'Cracker Yields'!$H$4+'Cracker Yields'!$I$4*'Financial Model (84 Months)'!AE13+'Financial Model (84 Months)'!AE14*'Cracker Yields'!$J$4+'Cracker Yields'!$K$4*'Financial Model (84 Months)'!AE15</f>
        <v>47206.166666666664</v>
      </c>
      <c r="AF17" s="697">
        <f>AF12*'Cracker Yields'!$H$4+'Cracker Yields'!$I$4*'Financial Model (84 Months)'!AF13+'Financial Model (84 Months)'!AF14*'Cracker Yields'!$J$4+'Cracker Yields'!$K$4*'Financial Model (84 Months)'!AF15</f>
        <v>47206.166666666664</v>
      </c>
      <c r="AG17" s="697">
        <f>AG12*'Cracker Yields'!$H$4+'Cracker Yields'!$I$4*'Financial Model (84 Months)'!AG13+'Financial Model (84 Months)'!AG14*'Cracker Yields'!$J$4+'Cracker Yields'!$K$4*'Financial Model (84 Months)'!AG15</f>
        <v>47206.166666666664</v>
      </c>
      <c r="AH17" s="697">
        <f>AH12*'Cracker Yields'!$H$4+'Cracker Yields'!$I$4*'Financial Model (84 Months)'!AH13+'Financial Model (84 Months)'!AH14*'Cracker Yields'!$J$4+'Cracker Yields'!$K$4*'Financial Model (84 Months)'!AH15</f>
        <v>47206.166666666664</v>
      </c>
      <c r="AI17" s="697">
        <f>AI12*'Cracker Yields'!$H$4+'Cracker Yields'!$I$4*'Financial Model (84 Months)'!AI13+'Financial Model (84 Months)'!AI14*'Cracker Yields'!$J$4+'Cracker Yields'!$K$4*'Financial Model (84 Months)'!AI15</f>
        <v>47206.166666666664</v>
      </c>
      <c r="AJ17" s="697">
        <f>AJ12*'Cracker Yields'!$H$4+'Cracker Yields'!$I$4*'Financial Model (84 Months)'!AJ13+'Financial Model (84 Months)'!AJ14*'Cracker Yields'!$J$4+'Cracker Yields'!$K$4*'Financial Model (84 Months)'!AJ15</f>
        <v>47206.166666666664</v>
      </c>
      <c r="AK17" s="697">
        <f>AK12*'Cracker Yields'!$H$4+'Cracker Yields'!$I$4*'Financial Model (84 Months)'!AK13+'Financial Model (84 Months)'!AK14*'Cracker Yields'!$J$4+'Cracker Yields'!$K$4*'Financial Model (84 Months)'!AK15</f>
        <v>47206.166666666664</v>
      </c>
      <c r="AL17" s="697">
        <f>AL12*'Cracker Yields'!$H$4+'Cracker Yields'!$I$4*'Financial Model (84 Months)'!AL13+'Financial Model (84 Months)'!AL14*'Cracker Yields'!$J$4+'Cracker Yields'!$K$4*'Financial Model (84 Months)'!AL15</f>
        <v>47206.166666666664</v>
      </c>
      <c r="AM17" s="697">
        <f>AM12*'Cracker Yields'!$H$4+'Cracker Yields'!$I$4*'Financial Model (84 Months)'!AM13+'Financial Model (84 Months)'!AM14*'Cracker Yields'!$J$4+'Cracker Yields'!$K$4*'Financial Model (84 Months)'!AM15</f>
        <v>47206.166666666664</v>
      </c>
      <c r="AN17" s="697">
        <f>AN12*'Cracker Yields'!$H$4+'Cracker Yields'!$I$4*'Financial Model (84 Months)'!AN13+'Financial Model (84 Months)'!AN14*'Cracker Yields'!$J$4+'Cracker Yields'!$K$4*'Financial Model (84 Months)'!AN15</f>
        <v>47206.166666666664</v>
      </c>
      <c r="AO17" s="697">
        <f>AO12*'Cracker Yields'!$H$4+'Cracker Yields'!$I$4*'Financial Model (84 Months)'!AO13+'Financial Model (84 Months)'!AO14*'Cracker Yields'!$J$4+'Cracker Yields'!$K$4*'Financial Model (84 Months)'!AO15</f>
        <v>47206.166666666664</v>
      </c>
      <c r="AP17" s="697">
        <f>AP12*'Cracker Yields'!$H$4+'Cracker Yields'!$I$4*'Financial Model (84 Months)'!AP13+'Financial Model (84 Months)'!AP14*'Cracker Yields'!$J$4+'Cracker Yields'!$K$4*'Financial Model (84 Months)'!AP15</f>
        <v>47206.166666666664</v>
      </c>
      <c r="AQ17" s="697">
        <f>AQ12*'Cracker Yields'!$H$4+'Cracker Yields'!$I$4*'Financial Model (84 Months)'!AQ13+'Financial Model (84 Months)'!AQ14*'Cracker Yields'!$J$4+'Cracker Yields'!$K$4*'Financial Model (84 Months)'!AQ15</f>
        <v>47206.166666666664</v>
      </c>
      <c r="AR17" s="697">
        <f>AR12*'Cracker Yields'!$H$4+'Cracker Yields'!$I$4*'Financial Model (84 Months)'!AR13+'Financial Model (84 Months)'!AR14*'Cracker Yields'!$J$4+'Cracker Yields'!$K$4*'Financial Model (84 Months)'!AR15</f>
        <v>47206.166666666664</v>
      </c>
      <c r="AS17" s="697">
        <f>AS12*'Cracker Yields'!$H$4+'Cracker Yields'!$I$4*'Financial Model (84 Months)'!AS13+'Financial Model (84 Months)'!AS14*'Cracker Yields'!$J$4+'Cracker Yields'!$K$4*'Financial Model (84 Months)'!AS15</f>
        <v>47206.166666666664</v>
      </c>
      <c r="AT17" s="697">
        <f>AT12*'Cracker Yields'!$H$4+'Cracker Yields'!$I$4*'Financial Model (84 Months)'!AT13+'Financial Model (84 Months)'!AT14*'Cracker Yields'!$J$4+'Cracker Yields'!$K$4*'Financial Model (84 Months)'!AT15</f>
        <v>47206.166666666664</v>
      </c>
      <c r="AU17" s="697">
        <f>AU12*'Cracker Yields'!$H$4+'Cracker Yields'!$I$4*'Financial Model (84 Months)'!AU13+'Financial Model (84 Months)'!AU14*'Cracker Yields'!$J$4+'Cracker Yields'!$K$4*'Financial Model (84 Months)'!AU15</f>
        <v>47206.166666666664</v>
      </c>
      <c r="AV17" s="697">
        <f>AV12*'Cracker Yields'!$H$4+'Cracker Yields'!$I$4*'Financial Model (84 Months)'!AV13+'Financial Model (84 Months)'!AV14*'Cracker Yields'!$J$4+'Cracker Yields'!$K$4*'Financial Model (84 Months)'!AV15</f>
        <v>47206.166666666664</v>
      </c>
      <c r="AW17" s="697">
        <f>AW12*'Cracker Yields'!$H$4+'Cracker Yields'!$I$4*'Financial Model (84 Months)'!AW13+'Financial Model (84 Months)'!AW14*'Cracker Yields'!$J$4+'Cracker Yields'!$K$4*'Financial Model (84 Months)'!AW15</f>
        <v>47206.166666666664</v>
      </c>
      <c r="AX17" s="697">
        <f>AX12*'Cracker Yields'!$H$4+'Cracker Yields'!$I$4*'Financial Model (84 Months)'!AX13+'Financial Model (84 Months)'!AX14*'Cracker Yields'!$J$4+'Cracker Yields'!$K$4*'Financial Model (84 Months)'!AX15</f>
        <v>47206.166666666664</v>
      </c>
      <c r="AY17" s="697">
        <f>AY12*'Cracker Yields'!$H$4+'Cracker Yields'!$I$4*'Financial Model (84 Months)'!AY13+'Financial Model (84 Months)'!AY14*'Cracker Yields'!$J$4+'Cracker Yields'!$K$4*'Financial Model (84 Months)'!AY15</f>
        <v>47206.166666666664</v>
      </c>
      <c r="AZ17" s="697">
        <f>AZ12*'Cracker Yields'!$H$4+'Cracker Yields'!$I$4*'Financial Model (84 Months)'!AZ13+'Financial Model (84 Months)'!AZ14*'Cracker Yields'!$J$4+'Cracker Yields'!$K$4*'Financial Model (84 Months)'!AZ15</f>
        <v>47206.166666666664</v>
      </c>
      <c r="BA17" s="697">
        <f>BA12*'Cracker Yields'!$H$4+'Cracker Yields'!$I$4*'Financial Model (84 Months)'!BA13+'Financial Model (84 Months)'!BA14*'Cracker Yields'!$J$4+'Cracker Yields'!$K$4*'Financial Model (84 Months)'!BA15</f>
        <v>47206.166666666664</v>
      </c>
      <c r="BB17" s="697">
        <f>BB12*'Cracker Yields'!$H$4+'Cracker Yields'!$I$4*'Financial Model (84 Months)'!BB13+'Financial Model (84 Months)'!BB14*'Cracker Yields'!$J$4+'Cracker Yields'!$K$4*'Financial Model (84 Months)'!BB15</f>
        <v>47206.166666666664</v>
      </c>
      <c r="BC17" s="697">
        <f>BC12*'Cracker Yields'!$H$4+'Cracker Yields'!$I$4*'Financial Model (84 Months)'!BC13+'Financial Model (84 Months)'!BC14*'Cracker Yields'!$J$4+'Cracker Yields'!$K$4*'Financial Model (84 Months)'!BC15</f>
        <v>47206.166666666664</v>
      </c>
      <c r="BD17" s="697">
        <f>BD12*'Cracker Yields'!$H$4+'Cracker Yields'!$I$4*'Financial Model (84 Months)'!BD13+'Financial Model (84 Months)'!BD14*'Cracker Yields'!$J$4+'Cracker Yields'!$K$4*'Financial Model (84 Months)'!BD15</f>
        <v>47206.166666666664</v>
      </c>
      <c r="BE17" s="697">
        <f>BE12*'Cracker Yields'!$H$4+'Cracker Yields'!$I$4*'Financial Model (84 Months)'!BE13+'Financial Model (84 Months)'!BE14*'Cracker Yields'!$J$4+'Cracker Yields'!$K$4*'Financial Model (84 Months)'!BE15</f>
        <v>47206.166666666664</v>
      </c>
      <c r="BF17" s="697">
        <f>BF12*'Cracker Yields'!$H$4+'Cracker Yields'!$I$4*'Financial Model (84 Months)'!BF13+'Financial Model (84 Months)'!BF14*'Cracker Yields'!$J$4+'Cracker Yields'!$K$4*'Financial Model (84 Months)'!BF15</f>
        <v>47206.166666666664</v>
      </c>
      <c r="BG17" s="697">
        <f>BG12*'Cracker Yields'!$H$4+'Cracker Yields'!$I$4*'Financial Model (84 Months)'!BG13+'Financial Model (84 Months)'!BG14*'Cracker Yields'!$J$4+'Cracker Yields'!$K$4*'Financial Model (84 Months)'!BG15</f>
        <v>47206.166666666664</v>
      </c>
      <c r="BH17" s="697">
        <f>BH12*'Cracker Yields'!$H$4+'Cracker Yields'!$I$4*'Financial Model (84 Months)'!BH13+'Financial Model (84 Months)'!BH14*'Cracker Yields'!$J$4+'Cracker Yields'!$K$4*'Financial Model (84 Months)'!BH15</f>
        <v>47206.166666666664</v>
      </c>
      <c r="BI17" s="697">
        <f>BI12*'Cracker Yields'!$H$4+'Cracker Yields'!$I$4*'Financial Model (84 Months)'!BI13+'Financial Model (84 Months)'!BI14*'Cracker Yields'!$J$4+'Cracker Yields'!$K$4*'Financial Model (84 Months)'!BI15</f>
        <v>47206.166666666664</v>
      </c>
      <c r="BJ17" s="697">
        <f>BJ12*'Cracker Yields'!$H$4+'Cracker Yields'!$I$4*'Financial Model (84 Months)'!BJ13+'Financial Model (84 Months)'!BJ14*'Cracker Yields'!$J$4+'Cracker Yields'!$K$4*'Financial Model (84 Months)'!BJ15</f>
        <v>47206.166666666664</v>
      </c>
      <c r="BK17" s="697">
        <f>BK12*'Cracker Yields'!$H$4+'Cracker Yields'!$I$4*'Financial Model (84 Months)'!BK13+'Financial Model (84 Months)'!BK14*'Cracker Yields'!$J$4+'Cracker Yields'!$K$4*'Financial Model (84 Months)'!BK15</f>
        <v>47206.166666666664</v>
      </c>
      <c r="BL17" s="697">
        <f>BL12*'Cracker Yields'!$H$4+'Cracker Yields'!$I$4*'Financial Model (84 Months)'!BL13+'Financial Model (84 Months)'!BL14*'Cracker Yields'!$J$4+'Cracker Yields'!$K$4*'Financial Model (84 Months)'!BL15</f>
        <v>47206.166666666664</v>
      </c>
      <c r="BM17" s="697">
        <f>BM12*'Cracker Yields'!$H$4+'Cracker Yields'!$I$4*'Financial Model (84 Months)'!BM13+'Financial Model (84 Months)'!BM14*'Cracker Yields'!$J$4+'Cracker Yields'!$K$4*'Financial Model (84 Months)'!BM15</f>
        <v>47206.166666666664</v>
      </c>
      <c r="BN17" s="697">
        <f>BN12*'Cracker Yields'!$H$4+'Cracker Yields'!$I$4*'Financial Model (84 Months)'!BN13+'Financial Model (84 Months)'!BN14*'Cracker Yields'!$J$4+'Cracker Yields'!$K$4*'Financial Model (84 Months)'!BN15</f>
        <v>47206.166666666664</v>
      </c>
      <c r="BO17" s="697">
        <f>BO12*'Cracker Yields'!$H$4+'Cracker Yields'!$I$4*'Financial Model (84 Months)'!BO13+'Financial Model (84 Months)'!BO14*'Cracker Yields'!$J$4+'Cracker Yields'!$K$4*'Financial Model (84 Months)'!BO15</f>
        <v>47206.166666666664</v>
      </c>
      <c r="BP17" s="697">
        <f>BP12*'Cracker Yields'!$H$4+'Cracker Yields'!$I$4*'Financial Model (84 Months)'!BP13+'Financial Model (84 Months)'!BP14*'Cracker Yields'!$J$4+'Cracker Yields'!$K$4*'Financial Model (84 Months)'!BP15</f>
        <v>47206.166666666664</v>
      </c>
      <c r="BQ17" s="697">
        <f>BQ12*'Cracker Yields'!$H$4+'Cracker Yields'!$I$4*'Financial Model (84 Months)'!BQ13+'Financial Model (84 Months)'!BQ14*'Cracker Yields'!$J$4+'Cracker Yields'!$K$4*'Financial Model (84 Months)'!BQ15</f>
        <v>47206.166666666664</v>
      </c>
      <c r="BR17" s="697">
        <f>BR12*'Cracker Yields'!$H$4+'Cracker Yields'!$I$4*'Financial Model (84 Months)'!BR13+'Financial Model (84 Months)'!BR14*'Cracker Yields'!$J$4+'Cracker Yields'!$K$4*'Financial Model (84 Months)'!BR15</f>
        <v>47206.166666666664</v>
      </c>
      <c r="BS17" s="697">
        <f>BS12*'Cracker Yields'!$H$4+'Cracker Yields'!$I$4*'Financial Model (84 Months)'!BS13+'Financial Model (84 Months)'!BS14*'Cracker Yields'!$J$4+'Cracker Yields'!$K$4*'Financial Model (84 Months)'!BS15</f>
        <v>47206.166666666664</v>
      </c>
      <c r="BT17" s="697">
        <f>BT12*'Cracker Yields'!$H$4+'Cracker Yields'!$I$4*'Financial Model (84 Months)'!BT13+'Financial Model (84 Months)'!BT14*'Cracker Yields'!$J$4+'Cracker Yields'!$K$4*'Financial Model (84 Months)'!BT15</f>
        <v>47206.166666666664</v>
      </c>
      <c r="BU17" s="697">
        <f>BU12*'Cracker Yields'!$H$4+'Cracker Yields'!$I$4*'Financial Model (84 Months)'!BU13+'Financial Model (84 Months)'!BU14*'Cracker Yields'!$J$4+'Cracker Yields'!$K$4*'Financial Model (84 Months)'!BU15</f>
        <v>47206.166666666664</v>
      </c>
      <c r="BV17" s="697">
        <f>BV12*'Cracker Yields'!$H$4+'Cracker Yields'!$I$4*'Financial Model (84 Months)'!BV13+'Financial Model (84 Months)'!BV14*'Cracker Yields'!$J$4+'Cracker Yields'!$K$4*'Financial Model (84 Months)'!BV15</f>
        <v>47206.166666666664</v>
      </c>
      <c r="BW17" s="697">
        <f>BW12*'Cracker Yields'!$H$4+'Cracker Yields'!$I$4*'Financial Model (84 Months)'!BW13+'Financial Model (84 Months)'!BW14*'Cracker Yields'!$J$4+'Cracker Yields'!$K$4*'Financial Model (84 Months)'!BW15</f>
        <v>47206.166666666664</v>
      </c>
      <c r="BX17" s="697">
        <f>BX12*'Cracker Yields'!$H$4+'Cracker Yields'!$I$4*'Financial Model (84 Months)'!BX13+'Financial Model (84 Months)'!BX14*'Cracker Yields'!$J$4+'Cracker Yields'!$K$4*'Financial Model (84 Months)'!BX15</f>
        <v>47206.166666666664</v>
      </c>
      <c r="BY17" s="697">
        <f>BY12*'Cracker Yields'!$H$4+'Cracker Yields'!$I$4*'Financial Model (84 Months)'!BY13+'Financial Model (84 Months)'!BY14*'Cracker Yields'!$J$4+'Cracker Yields'!$K$4*'Financial Model (84 Months)'!BY15</f>
        <v>47206.166666666664</v>
      </c>
      <c r="BZ17" s="697">
        <f>BZ12*'Cracker Yields'!$H$4+'Cracker Yields'!$I$4*'Financial Model (84 Months)'!BZ13+'Financial Model (84 Months)'!BZ14*'Cracker Yields'!$J$4+'Cracker Yields'!$K$4*'Financial Model (84 Months)'!BZ15</f>
        <v>47206.166666666664</v>
      </c>
      <c r="CA17" s="697">
        <f>CA12*'Cracker Yields'!$H$4+'Cracker Yields'!$I$4*'Financial Model (84 Months)'!CA13+'Financial Model (84 Months)'!CA14*'Cracker Yields'!$J$4+'Cracker Yields'!$K$4*'Financial Model (84 Months)'!CA15</f>
        <v>47206.166666666664</v>
      </c>
      <c r="CB17" s="697">
        <f>CB12*'Cracker Yields'!$H$4+'Cracker Yields'!$I$4*'Financial Model (84 Months)'!CB13+'Financial Model (84 Months)'!CB14*'Cracker Yields'!$J$4+'Cracker Yields'!$K$4*'Financial Model (84 Months)'!CB15</f>
        <v>47206.166666666664</v>
      </c>
      <c r="CC17" s="697">
        <f>CC12*'Cracker Yields'!$H$4+'Cracker Yields'!$I$4*'Financial Model (84 Months)'!CC13+'Financial Model (84 Months)'!CC14*'Cracker Yields'!$J$4+'Cracker Yields'!$K$4*'Financial Model (84 Months)'!CC15</f>
        <v>47206.166666666664</v>
      </c>
      <c r="CD17" s="697">
        <f>CD12*'Cracker Yields'!$H$4+'Cracker Yields'!$I$4*'Financial Model (84 Months)'!CD13+'Financial Model (84 Months)'!CD14*'Cracker Yields'!$J$4+'Cracker Yields'!$K$4*'Financial Model (84 Months)'!CD15</f>
        <v>47206.166666666664</v>
      </c>
      <c r="CE17" s="697">
        <f>CE12*'Cracker Yields'!$H$4+'Cracker Yields'!$I$4*'Financial Model (84 Months)'!CE13+'Financial Model (84 Months)'!CE14*'Cracker Yields'!$J$4+'Cracker Yields'!$K$4*'Financial Model (84 Months)'!CE15</f>
        <v>47206.166666666664</v>
      </c>
      <c r="CF17" s="697">
        <f>CF12*'Cracker Yields'!$H$4+'Cracker Yields'!$I$4*'Financial Model (84 Months)'!CF13+'Financial Model (84 Months)'!CF14*'Cracker Yields'!$J$4+'Cracker Yields'!$K$4*'Financial Model (84 Months)'!CF15</f>
        <v>47206.166666666664</v>
      </c>
      <c r="CG17" s="697">
        <f>CG12*'Cracker Yields'!$H$4+'Cracker Yields'!$I$4*'Financial Model (84 Months)'!CG13+'Financial Model (84 Months)'!CG14*'Cracker Yields'!$J$4+'Cracker Yields'!$K$4*'Financial Model (84 Months)'!CG15</f>
        <v>47206.166666666664</v>
      </c>
      <c r="CH17" s="697">
        <f>CH12*'Cracker Yields'!$H$4+'Cracker Yields'!$I$4*'Financial Model (84 Months)'!CH13+'Financial Model (84 Months)'!CH14*'Cracker Yields'!$J$4+'Cracker Yields'!$K$4*'Financial Model (84 Months)'!CH15</f>
        <v>47206.166666666664</v>
      </c>
      <c r="CI17" s="697">
        <f>CI12*'Cracker Yields'!$H$4+'Cracker Yields'!$I$4*'Financial Model (84 Months)'!CI13+'Financial Model (84 Months)'!CI14*'Cracker Yields'!$J$4+'Cracker Yields'!$K$4*'Financial Model (84 Months)'!CI15</f>
        <v>47206.166666666664</v>
      </c>
      <c r="CJ17" s="697">
        <f>CJ12*'Cracker Yields'!$H$4+'Cracker Yields'!$I$4*'Financial Model (84 Months)'!CJ13+'Financial Model (84 Months)'!CJ14*'Cracker Yields'!$J$4+'Cracker Yields'!$K$4*'Financial Model (84 Months)'!CJ15</f>
        <v>47206.166666666664</v>
      </c>
      <c r="CK17" s="697">
        <f>CK12*'Cracker Yields'!$H$4+'Cracker Yields'!$I$4*'Financial Model (84 Months)'!CK13+'Financial Model (84 Months)'!CK14*'Cracker Yields'!$J$4+'Cracker Yields'!$K$4*'Financial Model (84 Months)'!CK15</f>
        <v>47206.166666666664</v>
      </c>
      <c r="CL17" s="697">
        <f>CL12*'Cracker Yields'!$H$4+'Cracker Yields'!$I$4*'Financial Model (84 Months)'!CL13+'Financial Model (84 Months)'!CL14*'Cracker Yields'!$J$4+'Cracker Yields'!$K$4*'Financial Model (84 Months)'!CL15</f>
        <v>47206.166666666664</v>
      </c>
      <c r="CM17" s="642">
        <f t="shared" si="0"/>
        <v>47206.166666666613</v>
      </c>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row>
    <row r="18" spans="1:178">
      <c r="A18" s="1042"/>
      <c r="B18" s="639" t="s">
        <v>309</v>
      </c>
      <c r="C18" s="640" t="s">
        <v>310</v>
      </c>
      <c r="D18" s="640"/>
      <c r="E18" s="1045"/>
      <c r="F18" s="698" t="str">
        <f>F7</f>
        <v xml:space="preserve">Benzene </v>
      </c>
      <c r="G18" s="699">
        <f>G12*'Cracker Yields'!$H$6+'Cracker Yields'!$I$6*'Financial Model (84 Months)'!G13+'Financial Model (84 Months)'!G14*'Cracker Yields'!$J$6+'Cracker Yields'!$K$6*'Financial Model (84 Months)'!G15</f>
        <v>12105.081666666669</v>
      </c>
      <c r="H18" s="699">
        <f>H12*'Cracker Yields'!$H$6+'Cracker Yields'!$I$6*'Financial Model (84 Months)'!H13+'Financial Model (84 Months)'!H14*'Cracker Yields'!$J$6+'Cracker Yields'!$K$6*'Financial Model (84 Months)'!H15</f>
        <v>12105.081666666669</v>
      </c>
      <c r="I18" s="699">
        <f>I12*'Cracker Yields'!$H$6+'Cracker Yields'!$I$6*'Financial Model (84 Months)'!I13+'Financial Model (84 Months)'!I14*'Cracker Yields'!$J$6+'Cracker Yields'!$K$6*'Financial Model (84 Months)'!I15</f>
        <v>12105.081666666669</v>
      </c>
      <c r="J18" s="699">
        <f>J12*'Cracker Yields'!$H$6+'Cracker Yields'!$I$6*'Financial Model (84 Months)'!J13+'Financial Model (84 Months)'!J14*'Cracker Yields'!$J$6+'Cracker Yields'!$K$6*'Financial Model (84 Months)'!J15</f>
        <v>12105.081666666669</v>
      </c>
      <c r="K18" s="699">
        <f>K12*'Cracker Yields'!$H$6+'Cracker Yields'!$I$6*'Financial Model (84 Months)'!K13+'Financial Model (84 Months)'!K14*'Cracker Yields'!$J$6+'Cracker Yields'!$K$6*'Financial Model (84 Months)'!K15</f>
        <v>12105.081666666669</v>
      </c>
      <c r="L18" s="699">
        <f>L12*'Cracker Yields'!$H$6+'Cracker Yields'!$I$6*'Financial Model (84 Months)'!L13+'Financial Model (84 Months)'!L14*'Cracker Yields'!$J$6+'Cracker Yields'!$K$6*'Financial Model (84 Months)'!L15</f>
        <v>12105.081666666669</v>
      </c>
      <c r="M18" s="699">
        <f>M12*'Cracker Yields'!$H$6+'Cracker Yields'!$I$6*'Financial Model (84 Months)'!M13+'Financial Model (84 Months)'!M14*'Cracker Yields'!$J$6+'Cracker Yields'!$K$6*'Financial Model (84 Months)'!M15</f>
        <v>12105.081666666669</v>
      </c>
      <c r="N18" s="699">
        <f>N12*'Cracker Yields'!$H$6+'Cracker Yields'!$I$6*'Financial Model (84 Months)'!N13+'Financial Model (84 Months)'!N14*'Cracker Yields'!$J$6+'Cracker Yields'!$K$6*'Financial Model (84 Months)'!N15</f>
        <v>12105.081666666669</v>
      </c>
      <c r="O18" s="699">
        <f>O12*'Cracker Yields'!$H$6+'Cracker Yields'!$I$6*'Financial Model (84 Months)'!O13+'Financial Model (84 Months)'!O14*'Cracker Yields'!$J$6+'Cracker Yields'!$K$6*'Financial Model (84 Months)'!O15</f>
        <v>12105.081666666669</v>
      </c>
      <c r="P18" s="699">
        <f>P12*'Cracker Yields'!$H$6+'Cracker Yields'!$I$6*'Financial Model (84 Months)'!P13+'Financial Model (84 Months)'!P14*'Cracker Yields'!$J$6+'Cracker Yields'!$K$6*'Financial Model (84 Months)'!P15</f>
        <v>12105.081666666669</v>
      </c>
      <c r="Q18" s="699">
        <f>Q12*'Cracker Yields'!$H$6+'Cracker Yields'!$I$6*'Financial Model (84 Months)'!Q13+'Financial Model (84 Months)'!Q14*'Cracker Yields'!$J$6+'Cracker Yields'!$K$6*'Financial Model (84 Months)'!Q15</f>
        <v>12105.081666666669</v>
      </c>
      <c r="R18" s="699">
        <f>R12*'Cracker Yields'!$H$6+'Cracker Yields'!$I$6*'Financial Model (84 Months)'!R13+'Financial Model (84 Months)'!R14*'Cracker Yields'!$J$6+'Cracker Yields'!$K$6*'Financial Model (84 Months)'!R15</f>
        <v>12105.081666666669</v>
      </c>
      <c r="S18" s="699">
        <f>S12*'Cracker Yields'!$H$6+'Cracker Yields'!$I$6*'Financial Model (84 Months)'!S13+'Financial Model (84 Months)'!S14*'Cracker Yields'!$J$6+'Cracker Yields'!$K$6*'Financial Model (84 Months)'!S15</f>
        <v>12105.081666666669</v>
      </c>
      <c r="T18" s="699">
        <f>T12*'Cracker Yields'!$H$6+'Cracker Yields'!$I$6*'Financial Model (84 Months)'!T13+'Financial Model (84 Months)'!T14*'Cracker Yields'!$J$6+'Cracker Yields'!$K$6*'Financial Model (84 Months)'!T15</f>
        <v>12105.081666666669</v>
      </c>
      <c r="U18" s="699">
        <f>U12*'Cracker Yields'!$H$6+'Cracker Yields'!$I$6*'Financial Model (84 Months)'!U13+'Financial Model (84 Months)'!U14*'Cracker Yields'!$J$6+'Cracker Yields'!$K$6*'Financial Model (84 Months)'!U15</f>
        <v>12105.081666666669</v>
      </c>
      <c r="V18" s="699">
        <f>V12*'Cracker Yields'!$H$6+'Cracker Yields'!$I$6*'Financial Model (84 Months)'!V13+'Financial Model (84 Months)'!V14*'Cracker Yields'!$J$6+'Cracker Yields'!$K$6*'Financial Model (84 Months)'!V15</f>
        <v>12105.081666666669</v>
      </c>
      <c r="W18" s="699">
        <f>W12*'Cracker Yields'!$H$6+'Cracker Yields'!$I$6*'Financial Model (84 Months)'!W13+'Financial Model (84 Months)'!W14*'Cracker Yields'!$J$6+'Cracker Yields'!$K$6*'Financial Model (84 Months)'!W15</f>
        <v>12105.081666666669</v>
      </c>
      <c r="X18" s="699">
        <f>X12*'Cracker Yields'!$H$6+'Cracker Yields'!$I$6*'Financial Model (84 Months)'!X13+'Financial Model (84 Months)'!X14*'Cracker Yields'!$J$6+'Cracker Yields'!$K$6*'Financial Model (84 Months)'!X15</f>
        <v>12105.081666666669</v>
      </c>
      <c r="Y18" s="699">
        <f>Y12*'Cracker Yields'!$H$6+'Cracker Yields'!$I$6*'Financial Model (84 Months)'!Y13+'Financial Model (84 Months)'!Y14*'Cracker Yields'!$J$6+'Cracker Yields'!$K$6*'Financial Model (84 Months)'!Y15</f>
        <v>12105.081666666669</v>
      </c>
      <c r="Z18" s="699">
        <f>Z12*'Cracker Yields'!$H$6+'Cracker Yields'!$I$6*'Financial Model (84 Months)'!Z13+'Financial Model (84 Months)'!Z14*'Cracker Yields'!$J$6+'Cracker Yields'!$K$6*'Financial Model (84 Months)'!Z15</f>
        <v>12105.081666666669</v>
      </c>
      <c r="AA18" s="699">
        <f>AA12*'Cracker Yields'!$H$6+'Cracker Yields'!$I$6*'Financial Model (84 Months)'!AA13+'Financial Model (84 Months)'!AA14*'Cracker Yields'!$J$6+'Cracker Yields'!$K$6*'Financial Model (84 Months)'!AA15</f>
        <v>12105.081666666669</v>
      </c>
      <c r="AB18" s="699">
        <f>AB12*'Cracker Yields'!$H$6+'Cracker Yields'!$I$6*'Financial Model (84 Months)'!AB13+'Financial Model (84 Months)'!AB14*'Cracker Yields'!$J$6+'Cracker Yields'!$K$6*'Financial Model (84 Months)'!AB15</f>
        <v>12105.081666666669</v>
      </c>
      <c r="AC18" s="699">
        <f>AC12*'Cracker Yields'!$H$6+'Cracker Yields'!$I$6*'Financial Model (84 Months)'!AC13+'Financial Model (84 Months)'!AC14*'Cracker Yields'!$J$6+'Cracker Yields'!$K$6*'Financial Model (84 Months)'!AC15</f>
        <v>12105.081666666669</v>
      </c>
      <c r="AD18" s="699">
        <f>AD12*'Cracker Yields'!$H$6+'Cracker Yields'!$I$6*'Financial Model (84 Months)'!AD13+'Financial Model (84 Months)'!AD14*'Cracker Yields'!$J$6+'Cracker Yields'!$K$6*'Financial Model (84 Months)'!AD15</f>
        <v>12105.081666666669</v>
      </c>
      <c r="AE18" s="699">
        <f>AE12*'Cracker Yields'!$H$6+'Cracker Yields'!$I$6*'Financial Model (84 Months)'!AE13+'Financial Model (84 Months)'!AE14*'Cracker Yields'!$J$6+'Cracker Yields'!$K$6*'Financial Model (84 Months)'!AE15</f>
        <v>12105.081666666669</v>
      </c>
      <c r="AF18" s="699">
        <f>AF12*'Cracker Yields'!$H$6+'Cracker Yields'!$I$6*'Financial Model (84 Months)'!AF13+'Financial Model (84 Months)'!AF14*'Cracker Yields'!$J$6+'Cracker Yields'!$K$6*'Financial Model (84 Months)'!AF15</f>
        <v>12105.081666666669</v>
      </c>
      <c r="AG18" s="699">
        <f>AG12*'Cracker Yields'!$H$6+'Cracker Yields'!$I$6*'Financial Model (84 Months)'!AG13+'Financial Model (84 Months)'!AG14*'Cracker Yields'!$J$6+'Cracker Yields'!$K$6*'Financial Model (84 Months)'!AG15</f>
        <v>12105.081666666669</v>
      </c>
      <c r="AH18" s="699">
        <f>AH12*'Cracker Yields'!$H$6+'Cracker Yields'!$I$6*'Financial Model (84 Months)'!AH13+'Financial Model (84 Months)'!AH14*'Cracker Yields'!$J$6+'Cracker Yields'!$K$6*'Financial Model (84 Months)'!AH15</f>
        <v>12105.081666666669</v>
      </c>
      <c r="AI18" s="699">
        <f>AI12*'Cracker Yields'!$H$6+'Cracker Yields'!$I$6*'Financial Model (84 Months)'!AI13+'Financial Model (84 Months)'!AI14*'Cracker Yields'!$J$6+'Cracker Yields'!$K$6*'Financial Model (84 Months)'!AI15</f>
        <v>12105.081666666669</v>
      </c>
      <c r="AJ18" s="699">
        <f>AJ12*'Cracker Yields'!$H$6+'Cracker Yields'!$I$6*'Financial Model (84 Months)'!AJ13+'Financial Model (84 Months)'!AJ14*'Cracker Yields'!$J$6+'Cracker Yields'!$K$6*'Financial Model (84 Months)'!AJ15</f>
        <v>12105.081666666669</v>
      </c>
      <c r="AK18" s="699">
        <f>AK12*'Cracker Yields'!$H$6+'Cracker Yields'!$I$6*'Financial Model (84 Months)'!AK13+'Financial Model (84 Months)'!AK14*'Cracker Yields'!$J$6+'Cracker Yields'!$K$6*'Financial Model (84 Months)'!AK15</f>
        <v>12105.081666666669</v>
      </c>
      <c r="AL18" s="699">
        <f>AL12*'Cracker Yields'!$H$6+'Cracker Yields'!$I$6*'Financial Model (84 Months)'!AL13+'Financial Model (84 Months)'!AL14*'Cracker Yields'!$J$6+'Cracker Yields'!$K$6*'Financial Model (84 Months)'!AL15</f>
        <v>12105.081666666669</v>
      </c>
      <c r="AM18" s="699">
        <f>AM12*'Cracker Yields'!$H$6+'Cracker Yields'!$I$6*'Financial Model (84 Months)'!AM13+'Financial Model (84 Months)'!AM14*'Cracker Yields'!$J$6+'Cracker Yields'!$K$6*'Financial Model (84 Months)'!AM15</f>
        <v>12105.081666666669</v>
      </c>
      <c r="AN18" s="699">
        <f>AN12*'Cracker Yields'!$H$6+'Cracker Yields'!$I$6*'Financial Model (84 Months)'!AN13+'Financial Model (84 Months)'!AN14*'Cracker Yields'!$J$6+'Cracker Yields'!$K$6*'Financial Model (84 Months)'!AN15</f>
        <v>12105.081666666669</v>
      </c>
      <c r="AO18" s="699">
        <f>AO12*'Cracker Yields'!$H$6+'Cracker Yields'!$I$6*'Financial Model (84 Months)'!AO13+'Financial Model (84 Months)'!AO14*'Cracker Yields'!$J$6+'Cracker Yields'!$K$6*'Financial Model (84 Months)'!AO15</f>
        <v>12105.081666666669</v>
      </c>
      <c r="AP18" s="699">
        <f>AP12*'Cracker Yields'!$H$6+'Cracker Yields'!$I$6*'Financial Model (84 Months)'!AP13+'Financial Model (84 Months)'!AP14*'Cracker Yields'!$J$6+'Cracker Yields'!$K$6*'Financial Model (84 Months)'!AP15</f>
        <v>12105.081666666669</v>
      </c>
      <c r="AQ18" s="699">
        <f>AQ12*'Cracker Yields'!$H$6+'Cracker Yields'!$I$6*'Financial Model (84 Months)'!AQ13+'Financial Model (84 Months)'!AQ14*'Cracker Yields'!$J$6+'Cracker Yields'!$K$6*'Financial Model (84 Months)'!AQ15</f>
        <v>12105.081666666669</v>
      </c>
      <c r="AR18" s="699">
        <f>AR12*'Cracker Yields'!$H$6+'Cracker Yields'!$I$6*'Financial Model (84 Months)'!AR13+'Financial Model (84 Months)'!AR14*'Cracker Yields'!$J$6+'Cracker Yields'!$K$6*'Financial Model (84 Months)'!AR15</f>
        <v>12105.081666666669</v>
      </c>
      <c r="AS18" s="699">
        <f>AS12*'Cracker Yields'!$H$6+'Cracker Yields'!$I$6*'Financial Model (84 Months)'!AS13+'Financial Model (84 Months)'!AS14*'Cracker Yields'!$J$6+'Cracker Yields'!$K$6*'Financial Model (84 Months)'!AS15</f>
        <v>12105.081666666669</v>
      </c>
      <c r="AT18" s="699">
        <f>AT12*'Cracker Yields'!$H$6+'Cracker Yields'!$I$6*'Financial Model (84 Months)'!AT13+'Financial Model (84 Months)'!AT14*'Cracker Yields'!$J$6+'Cracker Yields'!$K$6*'Financial Model (84 Months)'!AT15</f>
        <v>12105.081666666669</v>
      </c>
      <c r="AU18" s="699">
        <f>AU12*'Cracker Yields'!$H$6+'Cracker Yields'!$I$6*'Financial Model (84 Months)'!AU13+'Financial Model (84 Months)'!AU14*'Cracker Yields'!$J$6+'Cracker Yields'!$K$6*'Financial Model (84 Months)'!AU15</f>
        <v>12105.081666666669</v>
      </c>
      <c r="AV18" s="699">
        <f>AV12*'Cracker Yields'!$H$6+'Cracker Yields'!$I$6*'Financial Model (84 Months)'!AV13+'Financial Model (84 Months)'!AV14*'Cracker Yields'!$J$6+'Cracker Yields'!$K$6*'Financial Model (84 Months)'!AV15</f>
        <v>12105.081666666669</v>
      </c>
      <c r="AW18" s="699">
        <f>AW12*'Cracker Yields'!$H$6+'Cracker Yields'!$I$6*'Financial Model (84 Months)'!AW13+'Financial Model (84 Months)'!AW14*'Cracker Yields'!$J$6+'Cracker Yields'!$K$6*'Financial Model (84 Months)'!AW15</f>
        <v>12105.081666666669</v>
      </c>
      <c r="AX18" s="699">
        <f>AX12*'Cracker Yields'!$H$6+'Cracker Yields'!$I$6*'Financial Model (84 Months)'!AX13+'Financial Model (84 Months)'!AX14*'Cracker Yields'!$J$6+'Cracker Yields'!$K$6*'Financial Model (84 Months)'!AX15</f>
        <v>12105.081666666669</v>
      </c>
      <c r="AY18" s="699">
        <f>AY12*'Cracker Yields'!$H$6+'Cracker Yields'!$I$6*'Financial Model (84 Months)'!AY13+'Financial Model (84 Months)'!AY14*'Cracker Yields'!$J$6+'Cracker Yields'!$K$6*'Financial Model (84 Months)'!AY15</f>
        <v>12105.081666666669</v>
      </c>
      <c r="AZ18" s="699">
        <f>AZ12*'Cracker Yields'!$H$6+'Cracker Yields'!$I$6*'Financial Model (84 Months)'!AZ13+'Financial Model (84 Months)'!AZ14*'Cracker Yields'!$J$6+'Cracker Yields'!$K$6*'Financial Model (84 Months)'!AZ15</f>
        <v>12105.081666666669</v>
      </c>
      <c r="BA18" s="699">
        <f>BA12*'Cracker Yields'!$H$6+'Cracker Yields'!$I$6*'Financial Model (84 Months)'!BA13+'Financial Model (84 Months)'!BA14*'Cracker Yields'!$J$6+'Cracker Yields'!$K$6*'Financial Model (84 Months)'!BA15</f>
        <v>12105.081666666669</v>
      </c>
      <c r="BB18" s="699">
        <f>BB12*'Cracker Yields'!$H$6+'Cracker Yields'!$I$6*'Financial Model (84 Months)'!BB13+'Financial Model (84 Months)'!BB14*'Cracker Yields'!$J$6+'Cracker Yields'!$K$6*'Financial Model (84 Months)'!BB15</f>
        <v>12105.081666666669</v>
      </c>
      <c r="BC18" s="699">
        <f>BC12*'Cracker Yields'!$H$6+'Cracker Yields'!$I$6*'Financial Model (84 Months)'!BC13+'Financial Model (84 Months)'!BC14*'Cracker Yields'!$J$6+'Cracker Yields'!$K$6*'Financial Model (84 Months)'!BC15</f>
        <v>12105.081666666669</v>
      </c>
      <c r="BD18" s="699">
        <f>BD12*'Cracker Yields'!$H$6+'Cracker Yields'!$I$6*'Financial Model (84 Months)'!BD13+'Financial Model (84 Months)'!BD14*'Cracker Yields'!$J$6+'Cracker Yields'!$K$6*'Financial Model (84 Months)'!BD15</f>
        <v>12105.081666666669</v>
      </c>
      <c r="BE18" s="699">
        <f>BE12*'Cracker Yields'!$H$6+'Cracker Yields'!$I$6*'Financial Model (84 Months)'!BE13+'Financial Model (84 Months)'!BE14*'Cracker Yields'!$J$6+'Cracker Yields'!$K$6*'Financial Model (84 Months)'!BE15</f>
        <v>12105.081666666669</v>
      </c>
      <c r="BF18" s="699">
        <f>BF12*'Cracker Yields'!$H$6+'Cracker Yields'!$I$6*'Financial Model (84 Months)'!BF13+'Financial Model (84 Months)'!BF14*'Cracker Yields'!$J$6+'Cracker Yields'!$K$6*'Financial Model (84 Months)'!BF15</f>
        <v>12105.081666666669</v>
      </c>
      <c r="BG18" s="699">
        <f>BG12*'Cracker Yields'!$H$6+'Cracker Yields'!$I$6*'Financial Model (84 Months)'!BG13+'Financial Model (84 Months)'!BG14*'Cracker Yields'!$J$6+'Cracker Yields'!$K$6*'Financial Model (84 Months)'!BG15</f>
        <v>12105.081666666669</v>
      </c>
      <c r="BH18" s="699">
        <f>BH12*'Cracker Yields'!$H$6+'Cracker Yields'!$I$6*'Financial Model (84 Months)'!BH13+'Financial Model (84 Months)'!BH14*'Cracker Yields'!$J$6+'Cracker Yields'!$K$6*'Financial Model (84 Months)'!BH15</f>
        <v>12105.081666666669</v>
      </c>
      <c r="BI18" s="699">
        <f>BI12*'Cracker Yields'!$H$6+'Cracker Yields'!$I$6*'Financial Model (84 Months)'!BI13+'Financial Model (84 Months)'!BI14*'Cracker Yields'!$J$6+'Cracker Yields'!$K$6*'Financial Model (84 Months)'!BI15</f>
        <v>12105.081666666669</v>
      </c>
      <c r="BJ18" s="699">
        <f>BJ12*'Cracker Yields'!$H$6+'Cracker Yields'!$I$6*'Financial Model (84 Months)'!BJ13+'Financial Model (84 Months)'!BJ14*'Cracker Yields'!$J$6+'Cracker Yields'!$K$6*'Financial Model (84 Months)'!BJ15</f>
        <v>12105.081666666669</v>
      </c>
      <c r="BK18" s="699">
        <f>BK12*'Cracker Yields'!$H$6+'Cracker Yields'!$I$6*'Financial Model (84 Months)'!BK13+'Financial Model (84 Months)'!BK14*'Cracker Yields'!$J$6+'Cracker Yields'!$K$6*'Financial Model (84 Months)'!BK15</f>
        <v>12105.081666666669</v>
      </c>
      <c r="BL18" s="699">
        <f>BL12*'Cracker Yields'!$H$6+'Cracker Yields'!$I$6*'Financial Model (84 Months)'!BL13+'Financial Model (84 Months)'!BL14*'Cracker Yields'!$J$6+'Cracker Yields'!$K$6*'Financial Model (84 Months)'!BL15</f>
        <v>12105.081666666669</v>
      </c>
      <c r="BM18" s="699">
        <f>BM12*'Cracker Yields'!$H$6+'Cracker Yields'!$I$6*'Financial Model (84 Months)'!BM13+'Financial Model (84 Months)'!BM14*'Cracker Yields'!$J$6+'Cracker Yields'!$K$6*'Financial Model (84 Months)'!BM15</f>
        <v>12105.081666666669</v>
      </c>
      <c r="BN18" s="699">
        <f>BN12*'Cracker Yields'!$H$6+'Cracker Yields'!$I$6*'Financial Model (84 Months)'!BN13+'Financial Model (84 Months)'!BN14*'Cracker Yields'!$J$6+'Cracker Yields'!$K$6*'Financial Model (84 Months)'!BN15</f>
        <v>12105.081666666669</v>
      </c>
      <c r="BO18" s="699">
        <f>BO12*'Cracker Yields'!$H$6+'Cracker Yields'!$I$6*'Financial Model (84 Months)'!BO13+'Financial Model (84 Months)'!BO14*'Cracker Yields'!$J$6+'Cracker Yields'!$K$6*'Financial Model (84 Months)'!BO15</f>
        <v>12105.081666666669</v>
      </c>
      <c r="BP18" s="699">
        <f>BP12*'Cracker Yields'!$H$6+'Cracker Yields'!$I$6*'Financial Model (84 Months)'!BP13+'Financial Model (84 Months)'!BP14*'Cracker Yields'!$J$6+'Cracker Yields'!$K$6*'Financial Model (84 Months)'!BP15</f>
        <v>12105.081666666669</v>
      </c>
      <c r="BQ18" s="699">
        <f>BQ12*'Cracker Yields'!$H$6+'Cracker Yields'!$I$6*'Financial Model (84 Months)'!BQ13+'Financial Model (84 Months)'!BQ14*'Cracker Yields'!$J$6+'Cracker Yields'!$K$6*'Financial Model (84 Months)'!BQ15</f>
        <v>12105.081666666669</v>
      </c>
      <c r="BR18" s="699">
        <f>BR12*'Cracker Yields'!$H$6+'Cracker Yields'!$I$6*'Financial Model (84 Months)'!BR13+'Financial Model (84 Months)'!BR14*'Cracker Yields'!$J$6+'Cracker Yields'!$K$6*'Financial Model (84 Months)'!BR15</f>
        <v>12105.081666666669</v>
      </c>
      <c r="BS18" s="699">
        <f>BS12*'Cracker Yields'!$H$6+'Cracker Yields'!$I$6*'Financial Model (84 Months)'!BS13+'Financial Model (84 Months)'!BS14*'Cracker Yields'!$J$6+'Cracker Yields'!$K$6*'Financial Model (84 Months)'!BS15</f>
        <v>12105.081666666669</v>
      </c>
      <c r="BT18" s="699">
        <f>BT12*'Cracker Yields'!$H$6+'Cracker Yields'!$I$6*'Financial Model (84 Months)'!BT13+'Financial Model (84 Months)'!BT14*'Cracker Yields'!$J$6+'Cracker Yields'!$K$6*'Financial Model (84 Months)'!BT15</f>
        <v>12105.081666666669</v>
      </c>
      <c r="BU18" s="699">
        <f>BU12*'Cracker Yields'!$H$6+'Cracker Yields'!$I$6*'Financial Model (84 Months)'!BU13+'Financial Model (84 Months)'!BU14*'Cracker Yields'!$J$6+'Cracker Yields'!$K$6*'Financial Model (84 Months)'!BU15</f>
        <v>12105.081666666669</v>
      </c>
      <c r="BV18" s="699">
        <f>BV12*'Cracker Yields'!$H$6+'Cracker Yields'!$I$6*'Financial Model (84 Months)'!BV13+'Financial Model (84 Months)'!BV14*'Cracker Yields'!$J$6+'Cracker Yields'!$K$6*'Financial Model (84 Months)'!BV15</f>
        <v>12105.081666666669</v>
      </c>
      <c r="BW18" s="699">
        <f>BW12*'Cracker Yields'!$H$6+'Cracker Yields'!$I$6*'Financial Model (84 Months)'!BW13+'Financial Model (84 Months)'!BW14*'Cracker Yields'!$J$6+'Cracker Yields'!$K$6*'Financial Model (84 Months)'!BW15</f>
        <v>12105.081666666669</v>
      </c>
      <c r="BX18" s="699">
        <f>BX12*'Cracker Yields'!$H$6+'Cracker Yields'!$I$6*'Financial Model (84 Months)'!BX13+'Financial Model (84 Months)'!BX14*'Cracker Yields'!$J$6+'Cracker Yields'!$K$6*'Financial Model (84 Months)'!BX15</f>
        <v>12105.081666666669</v>
      </c>
      <c r="BY18" s="699">
        <f>BY12*'Cracker Yields'!$H$6+'Cracker Yields'!$I$6*'Financial Model (84 Months)'!BY13+'Financial Model (84 Months)'!BY14*'Cracker Yields'!$J$6+'Cracker Yields'!$K$6*'Financial Model (84 Months)'!BY15</f>
        <v>12105.081666666669</v>
      </c>
      <c r="BZ18" s="699">
        <f>BZ12*'Cracker Yields'!$H$6+'Cracker Yields'!$I$6*'Financial Model (84 Months)'!BZ13+'Financial Model (84 Months)'!BZ14*'Cracker Yields'!$J$6+'Cracker Yields'!$K$6*'Financial Model (84 Months)'!BZ15</f>
        <v>12105.081666666669</v>
      </c>
      <c r="CA18" s="699">
        <f>CA12*'Cracker Yields'!$H$6+'Cracker Yields'!$I$6*'Financial Model (84 Months)'!CA13+'Financial Model (84 Months)'!CA14*'Cracker Yields'!$J$6+'Cracker Yields'!$K$6*'Financial Model (84 Months)'!CA15</f>
        <v>12105.081666666669</v>
      </c>
      <c r="CB18" s="699">
        <f>CB12*'Cracker Yields'!$H$6+'Cracker Yields'!$I$6*'Financial Model (84 Months)'!CB13+'Financial Model (84 Months)'!CB14*'Cracker Yields'!$J$6+'Cracker Yields'!$K$6*'Financial Model (84 Months)'!CB15</f>
        <v>12105.081666666669</v>
      </c>
      <c r="CC18" s="699">
        <f>CC12*'Cracker Yields'!$H$6+'Cracker Yields'!$I$6*'Financial Model (84 Months)'!CC13+'Financial Model (84 Months)'!CC14*'Cracker Yields'!$J$6+'Cracker Yields'!$K$6*'Financial Model (84 Months)'!CC15</f>
        <v>12105.081666666669</v>
      </c>
      <c r="CD18" s="699">
        <f>CD12*'Cracker Yields'!$H$6+'Cracker Yields'!$I$6*'Financial Model (84 Months)'!CD13+'Financial Model (84 Months)'!CD14*'Cracker Yields'!$J$6+'Cracker Yields'!$K$6*'Financial Model (84 Months)'!CD15</f>
        <v>12105.081666666669</v>
      </c>
      <c r="CE18" s="699">
        <f>CE12*'Cracker Yields'!$H$6+'Cracker Yields'!$I$6*'Financial Model (84 Months)'!CE13+'Financial Model (84 Months)'!CE14*'Cracker Yields'!$J$6+'Cracker Yields'!$K$6*'Financial Model (84 Months)'!CE15</f>
        <v>12105.081666666669</v>
      </c>
      <c r="CF18" s="699">
        <f>CF12*'Cracker Yields'!$H$6+'Cracker Yields'!$I$6*'Financial Model (84 Months)'!CF13+'Financial Model (84 Months)'!CF14*'Cracker Yields'!$J$6+'Cracker Yields'!$K$6*'Financial Model (84 Months)'!CF15</f>
        <v>12105.081666666669</v>
      </c>
      <c r="CG18" s="699">
        <f>CG12*'Cracker Yields'!$H$6+'Cracker Yields'!$I$6*'Financial Model (84 Months)'!CG13+'Financial Model (84 Months)'!CG14*'Cracker Yields'!$J$6+'Cracker Yields'!$K$6*'Financial Model (84 Months)'!CG15</f>
        <v>12105.081666666669</v>
      </c>
      <c r="CH18" s="699">
        <f>CH12*'Cracker Yields'!$H$6+'Cracker Yields'!$I$6*'Financial Model (84 Months)'!CH13+'Financial Model (84 Months)'!CH14*'Cracker Yields'!$J$6+'Cracker Yields'!$K$6*'Financial Model (84 Months)'!CH15</f>
        <v>12105.081666666669</v>
      </c>
      <c r="CI18" s="699">
        <f>CI12*'Cracker Yields'!$H$6+'Cracker Yields'!$I$6*'Financial Model (84 Months)'!CI13+'Financial Model (84 Months)'!CI14*'Cracker Yields'!$J$6+'Cracker Yields'!$K$6*'Financial Model (84 Months)'!CI15</f>
        <v>12105.081666666669</v>
      </c>
      <c r="CJ18" s="699">
        <f>CJ12*'Cracker Yields'!$H$6+'Cracker Yields'!$I$6*'Financial Model (84 Months)'!CJ13+'Financial Model (84 Months)'!CJ14*'Cracker Yields'!$J$6+'Cracker Yields'!$K$6*'Financial Model (84 Months)'!CJ15</f>
        <v>12105.081666666669</v>
      </c>
      <c r="CK18" s="699">
        <f>CK12*'Cracker Yields'!$H$6+'Cracker Yields'!$I$6*'Financial Model (84 Months)'!CK13+'Financial Model (84 Months)'!CK14*'Cracker Yields'!$J$6+'Cracker Yields'!$K$6*'Financial Model (84 Months)'!CK15</f>
        <v>12105.081666666669</v>
      </c>
      <c r="CL18" s="699">
        <f>CL12*'Cracker Yields'!$H$6+'Cracker Yields'!$I$6*'Financial Model (84 Months)'!CL13+'Financial Model (84 Months)'!CL14*'Cracker Yields'!$J$6+'Cracker Yields'!$K$6*'Financial Model (84 Months)'!CL15</f>
        <v>12105.081666666669</v>
      </c>
      <c r="CM18" s="642">
        <f t="shared" si="0"/>
        <v>12105.081666666667</v>
      </c>
      <c r="CN18" s="245"/>
      <c r="CO18" s="245"/>
      <c r="CP18" s="245"/>
      <c r="CQ18" s="245"/>
      <c r="CR18" s="245"/>
      <c r="CS18" s="245"/>
      <c r="CT18" s="245"/>
      <c r="CU18" s="245"/>
      <c r="CV18" s="245"/>
      <c r="CW18" s="245"/>
      <c r="CX18" s="245"/>
      <c r="CY18" s="245"/>
      <c r="CZ18" s="245"/>
      <c r="DA18" s="245"/>
      <c r="DB18" s="245"/>
      <c r="DC18" s="245"/>
      <c r="DD18" s="245"/>
      <c r="DE18" s="245"/>
      <c r="DF18" s="245"/>
      <c r="DG18" s="245"/>
      <c r="DH18" s="245"/>
      <c r="DI18" s="245"/>
      <c r="DJ18" s="245"/>
      <c r="DK18" s="245"/>
      <c r="DL18" s="245"/>
      <c r="DM18" s="245"/>
      <c r="DN18" s="245"/>
      <c r="DO18" s="245"/>
      <c r="DP18" s="245"/>
      <c r="DQ18" s="245"/>
      <c r="DR18" s="245"/>
      <c r="DS18" s="245"/>
      <c r="DT18" s="245"/>
      <c r="DU18" s="245"/>
      <c r="DV18" s="245"/>
      <c r="DW18" s="245"/>
      <c r="DX18" s="245"/>
      <c r="DY18" s="245"/>
      <c r="DZ18" s="245"/>
      <c r="EA18" s="245"/>
      <c r="EB18" s="245"/>
      <c r="EC18" s="245"/>
      <c r="ED18" s="245"/>
      <c r="EE18" s="245"/>
      <c r="EF18" s="245"/>
      <c r="EG18" s="245"/>
      <c r="EH18" s="245"/>
      <c r="EI18" s="245"/>
      <c r="EJ18" s="245"/>
      <c r="EK18" s="245"/>
      <c r="EL18" s="245"/>
      <c r="EM18" s="245"/>
      <c r="EN18" s="245"/>
      <c r="EO18" s="245"/>
      <c r="EP18" s="245"/>
      <c r="EQ18" s="245"/>
      <c r="ER18" s="245"/>
      <c r="ES18" s="245"/>
      <c r="ET18" s="245"/>
      <c r="EU18" s="245"/>
      <c r="EV18" s="245"/>
      <c r="EW18" s="245"/>
      <c r="EX18" s="245"/>
      <c r="EY18" s="245"/>
      <c r="EZ18" s="245"/>
      <c r="FA18" s="245"/>
      <c r="FB18" s="245"/>
      <c r="FC18" s="245"/>
      <c r="FD18" s="245"/>
      <c r="FE18" s="245"/>
      <c r="FF18" s="245"/>
      <c r="FG18" s="245"/>
      <c r="FH18" s="245"/>
      <c r="FI18" s="245"/>
      <c r="FJ18" s="245"/>
      <c r="FK18" s="245"/>
      <c r="FL18" s="245"/>
      <c r="FM18" s="245"/>
      <c r="FN18" s="245"/>
      <c r="FO18" s="245"/>
      <c r="FP18" s="245"/>
      <c r="FQ18" s="245"/>
      <c r="FR18" s="245"/>
      <c r="FS18" s="245"/>
      <c r="FT18" s="245"/>
      <c r="FU18" s="245"/>
      <c r="FV18" s="245"/>
    </row>
    <row r="19" spans="1:178">
      <c r="A19" s="1042"/>
      <c r="B19" s="639" t="s">
        <v>309</v>
      </c>
      <c r="C19" s="640" t="s">
        <v>310</v>
      </c>
      <c r="D19" s="640"/>
      <c r="E19" s="1045"/>
      <c r="F19" s="698" t="str">
        <f>F8</f>
        <v xml:space="preserve"> 1,3 Butadiene </v>
      </c>
      <c r="G19" s="699">
        <f>G12*'Cracker Yields'!$H$7+'Cracker Yields'!$I$7*'Financial Model (84 Months)'!G13+'Financial Model (84 Months)'!G14*'Cracker Yields'!$J$7+'Cracker Yields'!$K$7*'Financial Model (84 Months)'!G15</f>
        <v>11641.716666666667</v>
      </c>
      <c r="H19" s="699">
        <f>H12*'Cracker Yields'!$H$7+'Cracker Yields'!$I$7*'Financial Model (84 Months)'!H13+'Financial Model (84 Months)'!H14*'Cracker Yields'!$J$7+'Cracker Yields'!$K$7*'Financial Model (84 Months)'!H15</f>
        <v>11641.716666666667</v>
      </c>
      <c r="I19" s="699">
        <f>I12*'Cracker Yields'!$H$7+'Cracker Yields'!$I$7*'Financial Model (84 Months)'!I13+'Financial Model (84 Months)'!I14*'Cracker Yields'!$J$7+'Cracker Yields'!$K$7*'Financial Model (84 Months)'!I15</f>
        <v>11641.716666666667</v>
      </c>
      <c r="J19" s="699">
        <f>J12*'Cracker Yields'!$H$7+'Cracker Yields'!$I$7*'Financial Model (84 Months)'!J13+'Financial Model (84 Months)'!J14*'Cracker Yields'!$J$7+'Cracker Yields'!$K$7*'Financial Model (84 Months)'!J15</f>
        <v>11641.716666666667</v>
      </c>
      <c r="K19" s="699">
        <f>K12*'Cracker Yields'!$H$7+'Cracker Yields'!$I$7*'Financial Model (84 Months)'!K13+'Financial Model (84 Months)'!K14*'Cracker Yields'!$J$7+'Cracker Yields'!$K$7*'Financial Model (84 Months)'!K15</f>
        <v>11641.716666666667</v>
      </c>
      <c r="L19" s="699">
        <f>L12*'Cracker Yields'!$H$7+'Cracker Yields'!$I$7*'Financial Model (84 Months)'!L13+'Financial Model (84 Months)'!L14*'Cracker Yields'!$J$7+'Cracker Yields'!$K$7*'Financial Model (84 Months)'!L15</f>
        <v>11641.716666666667</v>
      </c>
      <c r="M19" s="699">
        <f>M12*'Cracker Yields'!$H$7+'Cracker Yields'!$I$7*'Financial Model (84 Months)'!M13+'Financial Model (84 Months)'!M14*'Cracker Yields'!$J$7+'Cracker Yields'!$K$7*'Financial Model (84 Months)'!M15</f>
        <v>11641.716666666667</v>
      </c>
      <c r="N19" s="699">
        <f>N12*'Cracker Yields'!$H$7+'Cracker Yields'!$I$7*'Financial Model (84 Months)'!N13+'Financial Model (84 Months)'!N14*'Cracker Yields'!$J$7+'Cracker Yields'!$K$7*'Financial Model (84 Months)'!N15</f>
        <v>11641.716666666667</v>
      </c>
      <c r="O19" s="699">
        <f>O12*'Cracker Yields'!$H$7+'Cracker Yields'!$I$7*'Financial Model (84 Months)'!O13+'Financial Model (84 Months)'!O14*'Cracker Yields'!$J$7+'Cracker Yields'!$K$7*'Financial Model (84 Months)'!O15</f>
        <v>11641.716666666667</v>
      </c>
      <c r="P19" s="699">
        <f>P12*'Cracker Yields'!$H$7+'Cracker Yields'!$I$7*'Financial Model (84 Months)'!P13+'Financial Model (84 Months)'!P14*'Cracker Yields'!$J$7+'Cracker Yields'!$K$7*'Financial Model (84 Months)'!P15</f>
        <v>11641.716666666667</v>
      </c>
      <c r="Q19" s="699">
        <f>Q12*'Cracker Yields'!$H$7+'Cracker Yields'!$I$7*'Financial Model (84 Months)'!Q13+'Financial Model (84 Months)'!Q14*'Cracker Yields'!$J$7+'Cracker Yields'!$K$7*'Financial Model (84 Months)'!Q15</f>
        <v>11641.716666666667</v>
      </c>
      <c r="R19" s="699">
        <f>R12*'Cracker Yields'!$H$7+'Cracker Yields'!$I$7*'Financial Model (84 Months)'!R13+'Financial Model (84 Months)'!R14*'Cracker Yields'!$J$7+'Cracker Yields'!$K$7*'Financial Model (84 Months)'!R15</f>
        <v>11641.716666666667</v>
      </c>
      <c r="S19" s="699">
        <f>S12*'Cracker Yields'!$H$7+'Cracker Yields'!$I$7*'Financial Model (84 Months)'!S13+'Financial Model (84 Months)'!S14*'Cracker Yields'!$J$7+'Cracker Yields'!$K$7*'Financial Model (84 Months)'!S15</f>
        <v>11641.716666666667</v>
      </c>
      <c r="T19" s="699">
        <f>T12*'Cracker Yields'!$H$7+'Cracker Yields'!$I$7*'Financial Model (84 Months)'!T13+'Financial Model (84 Months)'!T14*'Cracker Yields'!$J$7+'Cracker Yields'!$K$7*'Financial Model (84 Months)'!T15</f>
        <v>11641.716666666667</v>
      </c>
      <c r="U19" s="699">
        <f>U12*'Cracker Yields'!$H$7+'Cracker Yields'!$I$7*'Financial Model (84 Months)'!U13+'Financial Model (84 Months)'!U14*'Cracker Yields'!$J$7+'Cracker Yields'!$K$7*'Financial Model (84 Months)'!U15</f>
        <v>11641.716666666667</v>
      </c>
      <c r="V19" s="699">
        <f>V12*'Cracker Yields'!$H$7+'Cracker Yields'!$I$7*'Financial Model (84 Months)'!V13+'Financial Model (84 Months)'!V14*'Cracker Yields'!$J$7+'Cracker Yields'!$K$7*'Financial Model (84 Months)'!V15</f>
        <v>11641.716666666667</v>
      </c>
      <c r="W19" s="699">
        <f>W12*'Cracker Yields'!$H$7+'Cracker Yields'!$I$7*'Financial Model (84 Months)'!W13+'Financial Model (84 Months)'!W14*'Cracker Yields'!$J$7+'Cracker Yields'!$K$7*'Financial Model (84 Months)'!W15</f>
        <v>11641.716666666667</v>
      </c>
      <c r="X19" s="699">
        <f>X12*'Cracker Yields'!$H$7+'Cracker Yields'!$I$7*'Financial Model (84 Months)'!X13+'Financial Model (84 Months)'!X14*'Cracker Yields'!$J$7+'Cracker Yields'!$K$7*'Financial Model (84 Months)'!X15</f>
        <v>11641.716666666667</v>
      </c>
      <c r="Y19" s="699">
        <f>Y12*'Cracker Yields'!$H$7+'Cracker Yields'!$I$7*'Financial Model (84 Months)'!Y13+'Financial Model (84 Months)'!Y14*'Cracker Yields'!$J$7+'Cracker Yields'!$K$7*'Financial Model (84 Months)'!Y15</f>
        <v>11641.716666666667</v>
      </c>
      <c r="Z19" s="699">
        <f>Z12*'Cracker Yields'!$H$7+'Cracker Yields'!$I$7*'Financial Model (84 Months)'!Z13+'Financial Model (84 Months)'!Z14*'Cracker Yields'!$J$7+'Cracker Yields'!$K$7*'Financial Model (84 Months)'!Z15</f>
        <v>11641.716666666667</v>
      </c>
      <c r="AA19" s="699">
        <f>AA12*'Cracker Yields'!$H$7+'Cracker Yields'!$I$7*'Financial Model (84 Months)'!AA13+'Financial Model (84 Months)'!AA14*'Cracker Yields'!$J$7+'Cracker Yields'!$K$7*'Financial Model (84 Months)'!AA15</f>
        <v>11641.716666666667</v>
      </c>
      <c r="AB19" s="699">
        <f>AB12*'Cracker Yields'!$H$7+'Cracker Yields'!$I$7*'Financial Model (84 Months)'!AB13+'Financial Model (84 Months)'!AB14*'Cracker Yields'!$J$7+'Cracker Yields'!$K$7*'Financial Model (84 Months)'!AB15</f>
        <v>11641.716666666667</v>
      </c>
      <c r="AC19" s="699">
        <f>AC12*'Cracker Yields'!$H$7+'Cracker Yields'!$I$7*'Financial Model (84 Months)'!AC13+'Financial Model (84 Months)'!AC14*'Cracker Yields'!$J$7+'Cracker Yields'!$K$7*'Financial Model (84 Months)'!AC15</f>
        <v>11641.716666666667</v>
      </c>
      <c r="AD19" s="699">
        <f>AD12*'Cracker Yields'!$H$7+'Cracker Yields'!$I$7*'Financial Model (84 Months)'!AD13+'Financial Model (84 Months)'!AD14*'Cracker Yields'!$J$7+'Cracker Yields'!$K$7*'Financial Model (84 Months)'!AD15</f>
        <v>11641.716666666667</v>
      </c>
      <c r="AE19" s="699">
        <f>AE12*'Cracker Yields'!$H$7+'Cracker Yields'!$I$7*'Financial Model (84 Months)'!AE13+'Financial Model (84 Months)'!AE14*'Cracker Yields'!$J$7+'Cracker Yields'!$K$7*'Financial Model (84 Months)'!AE15</f>
        <v>11641.716666666667</v>
      </c>
      <c r="AF19" s="699">
        <f>AF12*'Cracker Yields'!$H$7+'Cracker Yields'!$I$7*'Financial Model (84 Months)'!AF13+'Financial Model (84 Months)'!AF14*'Cracker Yields'!$J$7+'Cracker Yields'!$K$7*'Financial Model (84 Months)'!AF15</f>
        <v>11641.716666666667</v>
      </c>
      <c r="AG19" s="699">
        <f>AG12*'Cracker Yields'!$H$7+'Cracker Yields'!$I$7*'Financial Model (84 Months)'!AG13+'Financial Model (84 Months)'!AG14*'Cracker Yields'!$J$7+'Cracker Yields'!$K$7*'Financial Model (84 Months)'!AG15</f>
        <v>11641.716666666667</v>
      </c>
      <c r="AH19" s="699">
        <f>AH12*'Cracker Yields'!$H$7+'Cracker Yields'!$I$7*'Financial Model (84 Months)'!AH13+'Financial Model (84 Months)'!AH14*'Cracker Yields'!$J$7+'Cracker Yields'!$K$7*'Financial Model (84 Months)'!AH15</f>
        <v>11641.716666666667</v>
      </c>
      <c r="AI19" s="699">
        <f>AI12*'Cracker Yields'!$H$7+'Cracker Yields'!$I$7*'Financial Model (84 Months)'!AI13+'Financial Model (84 Months)'!AI14*'Cracker Yields'!$J$7+'Cracker Yields'!$K$7*'Financial Model (84 Months)'!AI15</f>
        <v>11641.716666666667</v>
      </c>
      <c r="AJ19" s="699">
        <f>AJ12*'Cracker Yields'!$H$7+'Cracker Yields'!$I$7*'Financial Model (84 Months)'!AJ13+'Financial Model (84 Months)'!AJ14*'Cracker Yields'!$J$7+'Cracker Yields'!$K$7*'Financial Model (84 Months)'!AJ15</f>
        <v>11641.716666666667</v>
      </c>
      <c r="AK19" s="699">
        <f>AK12*'Cracker Yields'!$H$7+'Cracker Yields'!$I$7*'Financial Model (84 Months)'!AK13+'Financial Model (84 Months)'!AK14*'Cracker Yields'!$J$7+'Cracker Yields'!$K$7*'Financial Model (84 Months)'!AK15</f>
        <v>11641.716666666667</v>
      </c>
      <c r="AL19" s="699">
        <f>AL12*'Cracker Yields'!$H$7+'Cracker Yields'!$I$7*'Financial Model (84 Months)'!AL13+'Financial Model (84 Months)'!AL14*'Cracker Yields'!$J$7+'Cracker Yields'!$K$7*'Financial Model (84 Months)'!AL15</f>
        <v>11641.716666666667</v>
      </c>
      <c r="AM19" s="699">
        <f>AM12*'Cracker Yields'!$H$7+'Cracker Yields'!$I$7*'Financial Model (84 Months)'!AM13+'Financial Model (84 Months)'!AM14*'Cracker Yields'!$J$7+'Cracker Yields'!$K$7*'Financial Model (84 Months)'!AM15</f>
        <v>11641.716666666667</v>
      </c>
      <c r="AN19" s="699">
        <f>AN12*'Cracker Yields'!$H$7+'Cracker Yields'!$I$7*'Financial Model (84 Months)'!AN13+'Financial Model (84 Months)'!AN14*'Cracker Yields'!$J$7+'Cracker Yields'!$K$7*'Financial Model (84 Months)'!AN15</f>
        <v>11641.716666666667</v>
      </c>
      <c r="AO19" s="699">
        <f>AO12*'Cracker Yields'!$H$7+'Cracker Yields'!$I$7*'Financial Model (84 Months)'!AO13+'Financial Model (84 Months)'!AO14*'Cracker Yields'!$J$7+'Cracker Yields'!$K$7*'Financial Model (84 Months)'!AO15</f>
        <v>11641.716666666667</v>
      </c>
      <c r="AP19" s="699">
        <f>AP12*'Cracker Yields'!$H$7+'Cracker Yields'!$I$7*'Financial Model (84 Months)'!AP13+'Financial Model (84 Months)'!AP14*'Cracker Yields'!$J$7+'Cracker Yields'!$K$7*'Financial Model (84 Months)'!AP15</f>
        <v>11641.716666666667</v>
      </c>
      <c r="AQ19" s="699">
        <f>AQ12*'Cracker Yields'!$H$7+'Cracker Yields'!$I$7*'Financial Model (84 Months)'!AQ13+'Financial Model (84 Months)'!AQ14*'Cracker Yields'!$J$7+'Cracker Yields'!$K$7*'Financial Model (84 Months)'!AQ15</f>
        <v>11641.716666666667</v>
      </c>
      <c r="AR19" s="699">
        <f>AR12*'Cracker Yields'!$H$7+'Cracker Yields'!$I$7*'Financial Model (84 Months)'!AR13+'Financial Model (84 Months)'!AR14*'Cracker Yields'!$J$7+'Cracker Yields'!$K$7*'Financial Model (84 Months)'!AR15</f>
        <v>11641.716666666667</v>
      </c>
      <c r="AS19" s="699">
        <f>AS12*'Cracker Yields'!$H$7+'Cracker Yields'!$I$7*'Financial Model (84 Months)'!AS13+'Financial Model (84 Months)'!AS14*'Cracker Yields'!$J$7+'Cracker Yields'!$K$7*'Financial Model (84 Months)'!AS15</f>
        <v>11641.716666666667</v>
      </c>
      <c r="AT19" s="699">
        <f>AT12*'Cracker Yields'!$H$7+'Cracker Yields'!$I$7*'Financial Model (84 Months)'!AT13+'Financial Model (84 Months)'!AT14*'Cracker Yields'!$J$7+'Cracker Yields'!$K$7*'Financial Model (84 Months)'!AT15</f>
        <v>11641.716666666667</v>
      </c>
      <c r="AU19" s="699">
        <f>AU12*'Cracker Yields'!$H$7+'Cracker Yields'!$I$7*'Financial Model (84 Months)'!AU13+'Financial Model (84 Months)'!AU14*'Cracker Yields'!$J$7+'Cracker Yields'!$K$7*'Financial Model (84 Months)'!AU15</f>
        <v>11641.716666666667</v>
      </c>
      <c r="AV19" s="699">
        <f>AV12*'Cracker Yields'!$H$7+'Cracker Yields'!$I$7*'Financial Model (84 Months)'!AV13+'Financial Model (84 Months)'!AV14*'Cracker Yields'!$J$7+'Cracker Yields'!$K$7*'Financial Model (84 Months)'!AV15</f>
        <v>11641.716666666667</v>
      </c>
      <c r="AW19" s="699">
        <f>AW12*'Cracker Yields'!$H$7+'Cracker Yields'!$I$7*'Financial Model (84 Months)'!AW13+'Financial Model (84 Months)'!AW14*'Cracker Yields'!$J$7+'Cracker Yields'!$K$7*'Financial Model (84 Months)'!AW15</f>
        <v>11641.716666666667</v>
      </c>
      <c r="AX19" s="699">
        <f>AX12*'Cracker Yields'!$H$7+'Cracker Yields'!$I$7*'Financial Model (84 Months)'!AX13+'Financial Model (84 Months)'!AX14*'Cracker Yields'!$J$7+'Cracker Yields'!$K$7*'Financial Model (84 Months)'!AX15</f>
        <v>11641.716666666667</v>
      </c>
      <c r="AY19" s="699">
        <f>AY12*'Cracker Yields'!$H$7+'Cracker Yields'!$I$7*'Financial Model (84 Months)'!AY13+'Financial Model (84 Months)'!AY14*'Cracker Yields'!$J$7+'Cracker Yields'!$K$7*'Financial Model (84 Months)'!AY15</f>
        <v>11641.716666666667</v>
      </c>
      <c r="AZ19" s="699">
        <f>AZ12*'Cracker Yields'!$H$7+'Cracker Yields'!$I$7*'Financial Model (84 Months)'!AZ13+'Financial Model (84 Months)'!AZ14*'Cracker Yields'!$J$7+'Cracker Yields'!$K$7*'Financial Model (84 Months)'!AZ15</f>
        <v>11641.716666666667</v>
      </c>
      <c r="BA19" s="699">
        <f>BA12*'Cracker Yields'!$H$7+'Cracker Yields'!$I$7*'Financial Model (84 Months)'!BA13+'Financial Model (84 Months)'!BA14*'Cracker Yields'!$J$7+'Cracker Yields'!$K$7*'Financial Model (84 Months)'!BA15</f>
        <v>11641.716666666667</v>
      </c>
      <c r="BB19" s="699">
        <f>BB12*'Cracker Yields'!$H$7+'Cracker Yields'!$I$7*'Financial Model (84 Months)'!BB13+'Financial Model (84 Months)'!BB14*'Cracker Yields'!$J$7+'Cracker Yields'!$K$7*'Financial Model (84 Months)'!BB15</f>
        <v>11641.716666666667</v>
      </c>
      <c r="BC19" s="699">
        <f>BC12*'Cracker Yields'!$H$7+'Cracker Yields'!$I$7*'Financial Model (84 Months)'!BC13+'Financial Model (84 Months)'!BC14*'Cracker Yields'!$J$7+'Cracker Yields'!$K$7*'Financial Model (84 Months)'!BC15</f>
        <v>11641.716666666667</v>
      </c>
      <c r="BD19" s="699">
        <f>BD12*'Cracker Yields'!$H$7+'Cracker Yields'!$I$7*'Financial Model (84 Months)'!BD13+'Financial Model (84 Months)'!BD14*'Cracker Yields'!$J$7+'Cracker Yields'!$K$7*'Financial Model (84 Months)'!BD15</f>
        <v>11641.716666666667</v>
      </c>
      <c r="BE19" s="699">
        <f>BE12*'Cracker Yields'!$H$7+'Cracker Yields'!$I$7*'Financial Model (84 Months)'!BE13+'Financial Model (84 Months)'!BE14*'Cracker Yields'!$J$7+'Cracker Yields'!$K$7*'Financial Model (84 Months)'!BE15</f>
        <v>11641.716666666667</v>
      </c>
      <c r="BF19" s="699">
        <f>BF12*'Cracker Yields'!$H$7+'Cracker Yields'!$I$7*'Financial Model (84 Months)'!BF13+'Financial Model (84 Months)'!BF14*'Cracker Yields'!$J$7+'Cracker Yields'!$K$7*'Financial Model (84 Months)'!BF15</f>
        <v>11641.716666666667</v>
      </c>
      <c r="BG19" s="699">
        <f>BG12*'Cracker Yields'!$H$7+'Cracker Yields'!$I$7*'Financial Model (84 Months)'!BG13+'Financial Model (84 Months)'!BG14*'Cracker Yields'!$J$7+'Cracker Yields'!$K$7*'Financial Model (84 Months)'!BG15</f>
        <v>11641.716666666667</v>
      </c>
      <c r="BH19" s="699">
        <f>BH12*'Cracker Yields'!$H$7+'Cracker Yields'!$I$7*'Financial Model (84 Months)'!BH13+'Financial Model (84 Months)'!BH14*'Cracker Yields'!$J$7+'Cracker Yields'!$K$7*'Financial Model (84 Months)'!BH15</f>
        <v>11641.716666666667</v>
      </c>
      <c r="BI19" s="699">
        <f>BI12*'Cracker Yields'!$H$7+'Cracker Yields'!$I$7*'Financial Model (84 Months)'!BI13+'Financial Model (84 Months)'!BI14*'Cracker Yields'!$J$7+'Cracker Yields'!$K$7*'Financial Model (84 Months)'!BI15</f>
        <v>11641.716666666667</v>
      </c>
      <c r="BJ19" s="699">
        <f>BJ12*'Cracker Yields'!$H$7+'Cracker Yields'!$I$7*'Financial Model (84 Months)'!BJ13+'Financial Model (84 Months)'!BJ14*'Cracker Yields'!$J$7+'Cracker Yields'!$K$7*'Financial Model (84 Months)'!BJ15</f>
        <v>11641.716666666667</v>
      </c>
      <c r="BK19" s="699">
        <f>BK12*'Cracker Yields'!$H$7+'Cracker Yields'!$I$7*'Financial Model (84 Months)'!BK13+'Financial Model (84 Months)'!BK14*'Cracker Yields'!$J$7+'Cracker Yields'!$K$7*'Financial Model (84 Months)'!BK15</f>
        <v>11641.716666666667</v>
      </c>
      <c r="BL19" s="699">
        <f>BL12*'Cracker Yields'!$H$7+'Cracker Yields'!$I$7*'Financial Model (84 Months)'!BL13+'Financial Model (84 Months)'!BL14*'Cracker Yields'!$J$7+'Cracker Yields'!$K$7*'Financial Model (84 Months)'!BL15</f>
        <v>11641.716666666667</v>
      </c>
      <c r="BM19" s="699">
        <f>BM12*'Cracker Yields'!$H$7+'Cracker Yields'!$I$7*'Financial Model (84 Months)'!BM13+'Financial Model (84 Months)'!BM14*'Cracker Yields'!$J$7+'Cracker Yields'!$K$7*'Financial Model (84 Months)'!BM15</f>
        <v>11641.716666666667</v>
      </c>
      <c r="BN19" s="699">
        <f>BN12*'Cracker Yields'!$H$7+'Cracker Yields'!$I$7*'Financial Model (84 Months)'!BN13+'Financial Model (84 Months)'!BN14*'Cracker Yields'!$J$7+'Cracker Yields'!$K$7*'Financial Model (84 Months)'!BN15</f>
        <v>11641.716666666667</v>
      </c>
      <c r="BO19" s="699">
        <f>BO12*'Cracker Yields'!$H$7+'Cracker Yields'!$I$7*'Financial Model (84 Months)'!BO13+'Financial Model (84 Months)'!BO14*'Cracker Yields'!$J$7+'Cracker Yields'!$K$7*'Financial Model (84 Months)'!BO15</f>
        <v>11641.716666666667</v>
      </c>
      <c r="BP19" s="699">
        <f>BP12*'Cracker Yields'!$H$7+'Cracker Yields'!$I$7*'Financial Model (84 Months)'!BP13+'Financial Model (84 Months)'!BP14*'Cracker Yields'!$J$7+'Cracker Yields'!$K$7*'Financial Model (84 Months)'!BP15</f>
        <v>11641.716666666667</v>
      </c>
      <c r="BQ19" s="699">
        <f>BQ12*'Cracker Yields'!$H$7+'Cracker Yields'!$I$7*'Financial Model (84 Months)'!BQ13+'Financial Model (84 Months)'!BQ14*'Cracker Yields'!$J$7+'Cracker Yields'!$K$7*'Financial Model (84 Months)'!BQ15</f>
        <v>11641.716666666667</v>
      </c>
      <c r="BR19" s="699">
        <f>BR12*'Cracker Yields'!$H$7+'Cracker Yields'!$I$7*'Financial Model (84 Months)'!BR13+'Financial Model (84 Months)'!BR14*'Cracker Yields'!$J$7+'Cracker Yields'!$K$7*'Financial Model (84 Months)'!BR15</f>
        <v>11641.716666666667</v>
      </c>
      <c r="BS19" s="699">
        <f>BS12*'Cracker Yields'!$H$7+'Cracker Yields'!$I$7*'Financial Model (84 Months)'!BS13+'Financial Model (84 Months)'!BS14*'Cracker Yields'!$J$7+'Cracker Yields'!$K$7*'Financial Model (84 Months)'!BS15</f>
        <v>11641.716666666667</v>
      </c>
      <c r="BT19" s="699">
        <f>BT12*'Cracker Yields'!$H$7+'Cracker Yields'!$I$7*'Financial Model (84 Months)'!BT13+'Financial Model (84 Months)'!BT14*'Cracker Yields'!$J$7+'Cracker Yields'!$K$7*'Financial Model (84 Months)'!BT15</f>
        <v>11641.716666666667</v>
      </c>
      <c r="BU19" s="699">
        <f>BU12*'Cracker Yields'!$H$7+'Cracker Yields'!$I$7*'Financial Model (84 Months)'!BU13+'Financial Model (84 Months)'!BU14*'Cracker Yields'!$J$7+'Cracker Yields'!$K$7*'Financial Model (84 Months)'!BU15</f>
        <v>11641.716666666667</v>
      </c>
      <c r="BV19" s="699">
        <f>BV12*'Cracker Yields'!$H$7+'Cracker Yields'!$I$7*'Financial Model (84 Months)'!BV13+'Financial Model (84 Months)'!BV14*'Cracker Yields'!$J$7+'Cracker Yields'!$K$7*'Financial Model (84 Months)'!BV15</f>
        <v>11641.716666666667</v>
      </c>
      <c r="BW19" s="699">
        <f>BW12*'Cracker Yields'!$H$7+'Cracker Yields'!$I$7*'Financial Model (84 Months)'!BW13+'Financial Model (84 Months)'!BW14*'Cracker Yields'!$J$7+'Cracker Yields'!$K$7*'Financial Model (84 Months)'!BW15</f>
        <v>11641.716666666667</v>
      </c>
      <c r="BX19" s="699">
        <f>BX12*'Cracker Yields'!$H$7+'Cracker Yields'!$I$7*'Financial Model (84 Months)'!BX13+'Financial Model (84 Months)'!BX14*'Cracker Yields'!$J$7+'Cracker Yields'!$K$7*'Financial Model (84 Months)'!BX15</f>
        <v>11641.716666666667</v>
      </c>
      <c r="BY19" s="699">
        <f>BY12*'Cracker Yields'!$H$7+'Cracker Yields'!$I$7*'Financial Model (84 Months)'!BY13+'Financial Model (84 Months)'!BY14*'Cracker Yields'!$J$7+'Cracker Yields'!$K$7*'Financial Model (84 Months)'!BY15</f>
        <v>11641.716666666667</v>
      </c>
      <c r="BZ19" s="699">
        <f>BZ12*'Cracker Yields'!$H$7+'Cracker Yields'!$I$7*'Financial Model (84 Months)'!BZ13+'Financial Model (84 Months)'!BZ14*'Cracker Yields'!$J$7+'Cracker Yields'!$K$7*'Financial Model (84 Months)'!BZ15</f>
        <v>11641.716666666667</v>
      </c>
      <c r="CA19" s="699">
        <f>CA12*'Cracker Yields'!$H$7+'Cracker Yields'!$I$7*'Financial Model (84 Months)'!CA13+'Financial Model (84 Months)'!CA14*'Cracker Yields'!$J$7+'Cracker Yields'!$K$7*'Financial Model (84 Months)'!CA15</f>
        <v>11641.716666666667</v>
      </c>
      <c r="CB19" s="699">
        <f>CB12*'Cracker Yields'!$H$7+'Cracker Yields'!$I$7*'Financial Model (84 Months)'!CB13+'Financial Model (84 Months)'!CB14*'Cracker Yields'!$J$7+'Cracker Yields'!$K$7*'Financial Model (84 Months)'!CB15</f>
        <v>11641.716666666667</v>
      </c>
      <c r="CC19" s="699">
        <f>CC12*'Cracker Yields'!$H$7+'Cracker Yields'!$I$7*'Financial Model (84 Months)'!CC13+'Financial Model (84 Months)'!CC14*'Cracker Yields'!$J$7+'Cracker Yields'!$K$7*'Financial Model (84 Months)'!CC15</f>
        <v>11641.716666666667</v>
      </c>
      <c r="CD19" s="699">
        <f>CD12*'Cracker Yields'!$H$7+'Cracker Yields'!$I$7*'Financial Model (84 Months)'!CD13+'Financial Model (84 Months)'!CD14*'Cracker Yields'!$J$7+'Cracker Yields'!$K$7*'Financial Model (84 Months)'!CD15</f>
        <v>11641.716666666667</v>
      </c>
      <c r="CE19" s="699">
        <f>CE12*'Cracker Yields'!$H$7+'Cracker Yields'!$I$7*'Financial Model (84 Months)'!CE13+'Financial Model (84 Months)'!CE14*'Cracker Yields'!$J$7+'Cracker Yields'!$K$7*'Financial Model (84 Months)'!CE15</f>
        <v>11641.716666666667</v>
      </c>
      <c r="CF19" s="699">
        <f>CF12*'Cracker Yields'!$H$7+'Cracker Yields'!$I$7*'Financial Model (84 Months)'!CF13+'Financial Model (84 Months)'!CF14*'Cracker Yields'!$J$7+'Cracker Yields'!$K$7*'Financial Model (84 Months)'!CF15</f>
        <v>11641.716666666667</v>
      </c>
      <c r="CG19" s="699">
        <f>CG12*'Cracker Yields'!$H$7+'Cracker Yields'!$I$7*'Financial Model (84 Months)'!CG13+'Financial Model (84 Months)'!CG14*'Cracker Yields'!$J$7+'Cracker Yields'!$K$7*'Financial Model (84 Months)'!CG15</f>
        <v>11641.716666666667</v>
      </c>
      <c r="CH19" s="699">
        <f>CH12*'Cracker Yields'!$H$7+'Cracker Yields'!$I$7*'Financial Model (84 Months)'!CH13+'Financial Model (84 Months)'!CH14*'Cracker Yields'!$J$7+'Cracker Yields'!$K$7*'Financial Model (84 Months)'!CH15</f>
        <v>11641.716666666667</v>
      </c>
      <c r="CI19" s="699">
        <f>CI12*'Cracker Yields'!$H$7+'Cracker Yields'!$I$7*'Financial Model (84 Months)'!CI13+'Financial Model (84 Months)'!CI14*'Cracker Yields'!$J$7+'Cracker Yields'!$K$7*'Financial Model (84 Months)'!CI15</f>
        <v>11641.716666666667</v>
      </c>
      <c r="CJ19" s="699">
        <f>CJ12*'Cracker Yields'!$H$7+'Cracker Yields'!$I$7*'Financial Model (84 Months)'!CJ13+'Financial Model (84 Months)'!CJ14*'Cracker Yields'!$J$7+'Cracker Yields'!$K$7*'Financial Model (84 Months)'!CJ15</f>
        <v>11641.716666666667</v>
      </c>
      <c r="CK19" s="699">
        <f>CK12*'Cracker Yields'!$H$7+'Cracker Yields'!$I$7*'Financial Model (84 Months)'!CK13+'Financial Model (84 Months)'!CK14*'Cracker Yields'!$J$7+'Cracker Yields'!$K$7*'Financial Model (84 Months)'!CK15</f>
        <v>11641.716666666667</v>
      </c>
      <c r="CL19" s="699">
        <f>CL12*'Cracker Yields'!$H$7+'Cracker Yields'!$I$7*'Financial Model (84 Months)'!CL13+'Financial Model (84 Months)'!CL14*'Cracker Yields'!$J$7+'Cracker Yields'!$K$7*'Financial Model (84 Months)'!CL15</f>
        <v>11641.716666666667</v>
      </c>
      <c r="CM19" s="642">
        <f t="shared" si="0"/>
        <v>11641.716666666673</v>
      </c>
      <c r="CN19" s="245"/>
      <c r="CO19" s="245"/>
      <c r="CP19" s="245"/>
      <c r="CQ19" s="245"/>
      <c r="CR19" s="245"/>
      <c r="CS19" s="245"/>
      <c r="CT19" s="245"/>
      <c r="CU19" s="245"/>
      <c r="CV19" s="245"/>
      <c r="CW19" s="245"/>
      <c r="CX19" s="245"/>
      <c r="CY19" s="245"/>
      <c r="CZ19" s="245"/>
      <c r="DA19" s="245"/>
      <c r="DB19" s="245"/>
      <c r="DC19" s="245"/>
      <c r="DD19" s="245"/>
      <c r="DE19" s="245"/>
      <c r="DF19" s="245"/>
      <c r="DG19" s="245"/>
      <c r="DH19" s="245"/>
      <c r="DI19" s="245"/>
      <c r="DJ19" s="245"/>
      <c r="DK19" s="245"/>
      <c r="DL19" s="245"/>
      <c r="DM19" s="245"/>
      <c r="DN19" s="245"/>
      <c r="DO19" s="245"/>
      <c r="DP19" s="245"/>
      <c r="DQ19" s="245"/>
      <c r="DR19" s="245"/>
      <c r="DS19" s="245"/>
      <c r="DT19" s="245"/>
      <c r="DU19" s="245"/>
      <c r="DV19" s="245"/>
      <c r="DW19" s="245"/>
      <c r="DX19" s="245"/>
      <c r="DY19" s="245"/>
      <c r="DZ19" s="245"/>
      <c r="EA19" s="245"/>
      <c r="EB19" s="245"/>
      <c r="EC19" s="245"/>
      <c r="ED19" s="245"/>
      <c r="EE19" s="245"/>
      <c r="EF19" s="245"/>
      <c r="EG19" s="245"/>
      <c r="EH19" s="245"/>
      <c r="EI19" s="245"/>
      <c r="EJ19" s="245"/>
      <c r="EK19" s="245"/>
      <c r="EL19" s="245"/>
      <c r="EM19" s="245"/>
      <c r="EN19" s="245"/>
      <c r="EO19" s="245"/>
      <c r="EP19" s="245"/>
      <c r="EQ19" s="245"/>
      <c r="ER19" s="245"/>
      <c r="ES19" s="245"/>
      <c r="ET19" s="245"/>
      <c r="EU19" s="245"/>
      <c r="EV19" s="245"/>
      <c r="EW19" s="245"/>
      <c r="EX19" s="245"/>
      <c r="EY19" s="245"/>
      <c r="EZ19" s="245"/>
      <c r="FA19" s="245"/>
      <c r="FB19" s="245"/>
      <c r="FC19" s="245"/>
      <c r="FD19" s="245"/>
      <c r="FE19" s="245"/>
      <c r="FF19" s="245"/>
      <c r="FG19" s="245"/>
      <c r="FH19" s="245"/>
      <c r="FI19" s="245"/>
      <c r="FJ19" s="245"/>
      <c r="FK19" s="245"/>
      <c r="FL19" s="245"/>
      <c r="FM19" s="245"/>
      <c r="FN19" s="245"/>
      <c r="FO19" s="245"/>
      <c r="FP19" s="245"/>
      <c r="FQ19" s="245"/>
      <c r="FR19" s="245"/>
      <c r="FS19" s="245"/>
      <c r="FT19" s="245"/>
      <c r="FU19" s="245"/>
      <c r="FV19" s="245"/>
    </row>
    <row r="20" spans="1:178">
      <c r="A20" s="1042"/>
      <c r="B20" s="639" t="s">
        <v>309</v>
      </c>
      <c r="C20" s="640" t="s">
        <v>310</v>
      </c>
      <c r="D20" s="640"/>
      <c r="E20" s="1045"/>
      <c r="F20" s="698" t="str">
        <f>F9</f>
        <v xml:space="preserve"> Hydrogenated Pygas (HPG) </v>
      </c>
      <c r="G20" s="699">
        <f>G12*'Cracker Yields'!$H$8+'Cracker Yields'!$I$8*'Financial Model (84 Months)'!G13+'Financial Model (84 Months)'!G14*'Cracker Yields'!$J$8+'Cracker Yields'!$K$8*'Financial Model (84 Months)'!G15</f>
        <v>14526.098</v>
      </c>
      <c r="H20" s="699">
        <f>H12*'Cracker Yields'!$H$8+'Cracker Yields'!$I$8*'Financial Model (84 Months)'!H13+'Financial Model (84 Months)'!H14*'Cracker Yields'!$J$8+'Cracker Yields'!$K$8*'Financial Model (84 Months)'!H15</f>
        <v>14526.098</v>
      </c>
      <c r="I20" s="699">
        <f>I12*'Cracker Yields'!$H$8+'Cracker Yields'!$I$8*'Financial Model (84 Months)'!I13+'Financial Model (84 Months)'!I14*'Cracker Yields'!$J$8+'Cracker Yields'!$K$8*'Financial Model (84 Months)'!I15</f>
        <v>14526.098</v>
      </c>
      <c r="J20" s="699">
        <f>J12*'Cracker Yields'!$H$8+'Cracker Yields'!$I$8*'Financial Model (84 Months)'!J13+'Financial Model (84 Months)'!J14*'Cracker Yields'!$J$8+'Cracker Yields'!$K$8*'Financial Model (84 Months)'!J15</f>
        <v>14526.098</v>
      </c>
      <c r="K20" s="699">
        <f>K12*'Cracker Yields'!$H$8+'Cracker Yields'!$I$8*'Financial Model (84 Months)'!K13+'Financial Model (84 Months)'!K14*'Cracker Yields'!$J$8+'Cracker Yields'!$K$8*'Financial Model (84 Months)'!K15</f>
        <v>14526.098</v>
      </c>
      <c r="L20" s="699">
        <f>L12*'Cracker Yields'!$H$8+'Cracker Yields'!$I$8*'Financial Model (84 Months)'!L13+'Financial Model (84 Months)'!L14*'Cracker Yields'!$J$8+'Cracker Yields'!$K$8*'Financial Model (84 Months)'!L15</f>
        <v>14526.098</v>
      </c>
      <c r="M20" s="699">
        <f>M12*'Cracker Yields'!$H$8+'Cracker Yields'!$I$8*'Financial Model (84 Months)'!M13+'Financial Model (84 Months)'!M14*'Cracker Yields'!$J$8+'Cracker Yields'!$K$8*'Financial Model (84 Months)'!M15</f>
        <v>14526.098</v>
      </c>
      <c r="N20" s="699">
        <f>N12*'Cracker Yields'!$H$8+'Cracker Yields'!$I$8*'Financial Model (84 Months)'!N13+'Financial Model (84 Months)'!N14*'Cracker Yields'!$J$8+'Cracker Yields'!$K$8*'Financial Model (84 Months)'!N15</f>
        <v>14526.098</v>
      </c>
      <c r="O20" s="699">
        <f>O12*'Cracker Yields'!$H$8+'Cracker Yields'!$I$8*'Financial Model (84 Months)'!O13+'Financial Model (84 Months)'!O14*'Cracker Yields'!$J$8+'Cracker Yields'!$K$8*'Financial Model (84 Months)'!O15</f>
        <v>14526.098</v>
      </c>
      <c r="P20" s="699">
        <f>P12*'Cracker Yields'!$H$8+'Cracker Yields'!$I$8*'Financial Model (84 Months)'!P13+'Financial Model (84 Months)'!P14*'Cracker Yields'!$J$8+'Cracker Yields'!$K$8*'Financial Model (84 Months)'!P15</f>
        <v>14526.098</v>
      </c>
      <c r="Q20" s="699">
        <f>Q12*'Cracker Yields'!$H$8+'Cracker Yields'!$I$8*'Financial Model (84 Months)'!Q13+'Financial Model (84 Months)'!Q14*'Cracker Yields'!$J$8+'Cracker Yields'!$K$8*'Financial Model (84 Months)'!Q15</f>
        <v>14526.098</v>
      </c>
      <c r="R20" s="699">
        <f>R12*'Cracker Yields'!$H$8+'Cracker Yields'!$I$8*'Financial Model (84 Months)'!R13+'Financial Model (84 Months)'!R14*'Cracker Yields'!$J$8+'Cracker Yields'!$K$8*'Financial Model (84 Months)'!R15</f>
        <v>14526.098</v>
      </c>
      <c r="S20" s="699">
        <f>S12*'Cracker Yields'!$H$8+'Cracker Yields'!$I$8*'Financial Model (84 Months)'!S13+'Financial Model (84 Months)'!S14*'Cracker Yields'!$J$8+'Cracker Yields'!$K$8*'Financial Model (84 Months)'!S15</f>
        <v>14526.098</v>
      </c>
      <c r="T20" s="699">
        <f>T12*'Cracker Yields'!$H$8+'Cracker Yields'!$I$8*'Financial Model (84 Months)'!T13+'Financial Model (84 Months)'!T14*'Cracker Yields'!$J$8+'Cracker Yields'!$K$8*'Financial Model (84 Months)'!T15</f>
        <v>14526.098</v>
      </c>
      <c r="U20" s="699">
        <f>U12*'Cracker Yields'!$H$8+'Cracker Yields'!$I$8*'Financial Model (84 Months)'!U13+'Financial Model (84 Months)'!U14*'Cracker Yields'!$J$8+'Cracker Yields'!$K$8*'Financial Model (84 Months)'!U15</f>
        <v>14526.098</v>
      </c>
      <c r="V20" s="699">
        <f>V12*'Cracker Yields'!$H$8+'Cracker Yields'!$I$8*'Financial Model (84 Months)'!V13+'Financial Model (84 Months)'!V14*'Cracker Yields'!$J$8+'Cracker Yields'!$K$8*'Financial Model (84 Months)'!V15</f>
        <v>14526.098</v>
      </c>
      <c r="W20" s="699">
        <f>W12*'Cracker Yields'!$H$8+'Cracker Yields'!$I$8*'Financial Model (84 Months)'!W13+'Financial Model (84 Months)'!W14*'Cracker Yields'!$J$8+'Cracker Yields'!$K$8*'Financial Model (84 Months)'!W15</f>
        <v>14526.098</v>
      </c>
      <c r="X20" s="699">
        <f>X12*'Cracker Yields'!$H$8+'Cracker Yields'!$I$8*'Financial Model (84 Months)'!X13+'Financial Model (84 Months)'!X14*'Cracker Yields'!$J$8+'Cracker Yields'!$K$8*'Financial Model (84 Months)'!X15</f>
        <v>14526.098</v>
      </c>
      <c r="Y20" s="699">
        <f>Y12*'Cracker Yields'!$H$8+'Cracker Yields'!$I$8*'Financial Model (84 Months)'!Y13+'Financial Model (84 Months)'!Y14*'Cracker Yields'!$J$8+'Cracker Yields'!$K$8*'Financial Model (84 Months)'!Y15</f>
        <v>14526.098</v>
      </c>
      <c r="Z20" s="699">
        <f>Z12*'Cracker Yields'!$H$8+'Cracker Yields'!$I$8*'Financial Model (84 Months)'!Z13+'Financial Model (84 Months)'!Z14*'Cracker Yields'!$J$8+'Cracker Yields'!$K$8*'Financial Model (84 Months)'!Z15</f>
        <v>14526.098</v>
      </c>
      <c r="AA20" s="699">
        <f>AA12*'Cracker Yields'!$H$8+'Cracker Yields'!$I$8*'Financial Model (84 Months)'!AA13+'Financial Model (84 Months)'!AA14*'Cracker Yields'!$J$8+'Cracker Yields'!$K$8*'Financial Model (84 Months)'!AA15</f>
        <v>14526.098</v>
      </c>
      <c r="AB20" s="699">
        <f>AB12*'Cracker Yields'!$H$8+'Cracker Yields'!$I$8*'Financial Model (84 Months)'!AB13+'Financial Model (84 Months)'!AB14*'Cracker Yields'!$J$8+'Cracker Yields'!$K$8*'Financial Model (84 Months)'!AB15</f>
        <v>14526.098</v>
      </c>
      <c r="AC20" s="699">
        <f>AC12*'Cracker Yields'!$H$8+'Cracker Yields'!$I$8*'Financial Model (84 Months)'!AC13+'Financial Model (84 Months)'!AC14*'Cracker Yields'!$J$8+'Cracker Yields'!$K$8*'Financial Model (84 Months)'!AC15</f>
        <v>14526.098</v>
      </c>
      <c r="AD20" s="699">
        <f>AD12*'Cracker Yields'!$H$8+'Cracker Yields'!$I$8*'Financial Model (84 Months)'!AD13+'Financial Model (84 Months)'!AD14*'Cracker Yields'!$J$8+'Cracker Yields'!$K$8*'Financial Model (84 Months)'!AD15</f>
        <v>14526.098</v>
      </c>
      <c r="AE20" s="699">
        <f>AE12*'Cracker Yields'!$H$8+'Cracker Yields'!$I$8*'Financial Model (84 Months)'!AE13+'Financial Model (84 Months)'!AE14*'Cracker Yields'!$J$8+'Cracker Yields'!$K$8*'Financial Model (84 Months)'!AE15</f>
        <v>14526.098</v>
      </c>
      <c r="AF20" s="699">
        <f>AF12*'Cracker Yields'!$H$8+'Cracker Yields'!$I$8*'Financial Model (84 Months)'!AF13+'Financial Model (84 Months)'!AF14*'Cracker Yields'!$J$8+'Cracker Yields'!$K$8*'Financial Model (84 Months)'!AF15</f>
        <v>14526.098</v>
      </c>
      <c r="AG20" s="699">
        <f>AG12*'Cracker Yields'!$H$8+'Cracker Yields'!$I$8*'Financial Model (84 Months)'!AG13+'Financial Model (84 Months)'!AG14*'Cracker Yields'!$J$8+'Cracker Yields'!$K$8*'Financial Model (84 Months)'!AG15</f>
        <v>14526.098</v>
      </c>
      <c r="AH20" s="699">
        <f>AH12*'Cracker Yields'!$H$8+'Cracker Yields'!$I$8*'Financial Model (84 Months)'!AH13+'Financial Model (84 Months)'!AH14*'Cracker Yields'!$J$8+'Cracker Yields'!$K$8*'Financial Model (84 Months)'!AH15</f>
        <v>14526.098</v>
      </c>
      <c r="AI20" s="699">
        <f>AI12*'Cracker Yields'!$H$8+'Cracker Yields'!$I$8*'Financial Model (84 Months)'!AI13+'Financial Model (84 Months)'!AI14*'Cracker Yields'!$J$8+'Cracker Yields'!$K$8*'Financial Model (84 Months)'!AI15</f>
        <v>14526.098</v>
      </c>
      <c r="AJ20" s="699">
        <f>AJ12*'Cracker Yields'!$H$8+'Cracker Yields'!$I$8*'Financial Model (84 Months)'!AJ13+'Financial Model (84 Months)'!AJ14*'Cracker Yields'!$J$8+'Cracker Yields'!$K$8*'Financial Model (84 Months)'!AJ15</f>
        <v>14526.098</v>
      </c>
      <c r="AK20" s="699">
        <f>AK12*'Cracker Yields'!$H$8+'Cracker Yields'!$I$8*'Financial Model (84 Months)'!AK13+'Financial Model (84 Months)'!AK14*'Cracker Yields'!$J$8+'Cracker Yields'!$K$8*'Financial Model (84 Months)'!AK15</f>
        <v>14526.098</v>
      </c>
      <c r="AL20" s="699">
        <f>AL12*'Cracker Yields'!$H$8+'Cracker Yields'!$I$8*'Financial Model (84 Months)'!AL13+'Financial Model (84 Months)'!AL14*'Cracker Yields'!$J$8+'Cracker Yields'!$K$8*'Financial Model (84 Months)'!AL15</f>
        <v>14526.098</v>
      </c>
      <c r="AM20" s="699">
        <f>AM12*'Cracker Yields'!$H$8+'Cracker Yields'!$I$8*'Financial Model (84 Months)'!AM13+'Financial Model (84 Months)'!AM14*'Cracker Yields'!$J$8+'Cracker Yields'!$K$8*'Financial Model (84 Months)'!AM15</f>
        <v>14526.098</v>
      </c>
      <c r="AN20" s="699">
        <f>AN12*'Cracker Yields'!$H$8+'Cracker Yields'!$I$8*'Financial Model (84 Months)'!AN13+'Financial Model (84 Months)'!AN14*'Cracker Yields'!$J$8+'Cracker Yields'!$K$8*'Financial Model (84 Months)'!AN15</f>
        <v>14526.098</v>
      </c>
      <c r="AO20" s="699">
        <f>AO12*'Cracker Yields'!$H$8+'Cracker Yields'!$I$8*'Financial Model (84 Months)'!AO13+'Financial Model (84 Months)'!AO14*'Cracker Yields'!$J$8+'Cracker Yields'!$K$8*'Financial Model (84 Months)'!AO15</f>
        <v>14526.098</v>
      </c>
      <c r="AP20" s="699">
        <f>AP12*'Cracker Yields'!$H$8+'Cracker Yields'!$I$8*'Financial Model (84 Months)'!AP13+'Financial Model (84 Months)'!AP14*'Cracker Yields'!$J$8+'Cracker Yields'!$K$8*'Financial Model (84 Months)'!AP15</f>
        <v>14526.098</v>
      </c>
      <c r="AQ20" s="699">
        <f>AQ12*'Cracker Yields'!$H$8+'Cracker Yields'!$I$8*'Financial Model (84 Months)'!AQ13+'Financial Model (84 Months)'!AQ14*'Cracker Yields'!$J$8+'Cracker Yields'!$K$8*'Financial Model (84 Months)'!AQ15</f>
        <v>14526.098</v>
      </c>
      <c r="AR20" s="699">
        <f>AR12*'Cracker Yields'!$H$8+'Cracker Yields'!$I$8*'Financial Model (84 Months)'!AR13+'Financial Model (84 Months)'!AR14*'Cracker Yields'!$J$8+'Cracker Yields'!$K$8*'Financial Model (84 Months)'!AR15</f>
        <v>14526.098</v>
      </c>
      <c r="AS20" s="699">
        <f>AS12*'Cracker Yields'!$H$8+'Cracker Yields'!$I$8*'Financial Model (84 Months)'!AS13+'Financial Model (84 Months)'!AS14*'Cracker Yields'!$J$8+'Cracker Yields'!$K$8*'Financial Model (84 Months)'!AS15</f>
        <v>14526.098</v>
      </c>
      <c r="AT20" s="699">
        <f>AT12*'Cracker Yields'!$H$8+'Cracker Yields'!$I$8*'Financial Model (84 Months)'!AT13+'Financial Model (84 Months)'!AT14*'Cracker Yields'!$J$8+'Cracker Yields'!$K$8*'Financial Model (84 Months)'!AT15</f>
        <v>14526.098</v>
      </c>
      <c r="AU20" s="699">
        <f>AU12*'Cracker Yields'!$H$8+'Cracker Yields'!$I$8*'Financial Model (84 Months)'!AU13+'Financial Model (84 Months)'!AU14*'Cracker Yields'!$J$8+'Cracker Yields'!$K$8*'Financial Model (84 Months)'!AU15</f>
        <v>14526.098</v>
      </c>
      <c r="AV20" s="699">
        <f>AV12*'Cracker Yields'!$H$8+'Cracker Yields'!$I$8*'Financial Model (84 Months)'!AV13+'Financial Model (84 Months)'!AV14*'Cracker Yields'!$J$8+'Cracker Yields'!$K$8*'Financial Model (84 Months)'!AV15</f>
        <v>14526.098</v>
      </c>
      <c r="AW20" s="699">
        <f>AW12*'Cracker Yields'!$H$8+'Cracker Yields'!$I$8*'Financial Model (84 Months)'!AW13+'Financial Model (84 Months)'!AW14*'Cracker Yields'!$J$8+'Cracker Yields'!$K$8*'Financial Model (84 Months)'!AW15</f>
        <v>14526.098</v>
      </c>
      <c r="AX20" s="699">
        <f>AX12*'Cracker Yields'!$H$8+'Cracker Yields'!$I$8*'Financial Model (84 Months)'!AX13+'Financial Model (84 Months)'!AX14*'Cracker Yields'!$J$8+'Cracker Yields'!$K$8*'Financial Model (84 Months)'!AX15</f>
        <v>14526.098</v>
      </c>
      <c r="AY20" s="699">
        <f>AY12*'Cracker Yields'!$H$8+'Cracker Yields'!$I$8*'Financial Model (84 Months)'!AY13+'Financial Model (84 Months)'!AY14*'Cracker Yields'!$J$8+'Cracker Yields'!$K$8*'Financial Model (84 Months)'!AY15</f>
        <v>14526.098</v>
      </c>
      <c r="AZ20" s="699">
        <f>AZ12*'Cracker Yields'!$H$8+'Cracker Yields'!$I$8*'Financial Model (84 Months)'!AZ13+'Financial Model (84 Months)'!AZ14*'Cracker Yields'!$J$8+'Cracker Yields'!$K$8*'Financial Model (84 Months)'!AZ15</f>
        <v>14526.098</v>
      </c>
      <c r="BA20" s="699">
        <f>BA12*'Cracker Yields'!$H$8+'Cracker Yields'!$I$8*'Financial Model (84 Months)'!BA13+'Financial Model (84 Months)'!BA14*'Cracker Yields'!$J$8+'Cracker Yields'!$K$8*'Financial Model (84 Months)'!BA15</f>
        <v>14526.098</v>
      </c>
      <c r="BB20" s="699">
        <f>BB12*'Cracker Yields'!$H$8+'Cracker Yields'!$I$8*'Financial Model (84 Months)'!BB13+'Financial Model (84 Months)'!BB14*'Cracker Yields'!$J$8+'Cracker Yields'!$K$8*'Financial Model (84 Months)'!BB15</f>
        <v>14526.098</v>
      </c>
      <c r="BC20" s="699">
        <f>BC12*'Cracker Yields'!$H$8+'Cracker Yields'!$I$8*'Financial Model (84 Months)'!BC13+'Financial Model (84 Months)'!BC14*'Cracker Yields'!$J$8+'Cracker Yields'!$K$8*'Financial Model (84 Months)'!BC15</f>
        <v>14526.098</v>
      </c>
      <c r="BD20" s="699">
        <f>BD12*'Cracker Yields'!$H$8+'Cracker Yields'!$I$8*'Financial Model (84 Months)'!BD13+'Financial Model (84 Months)'!BD14*'Cracker Yields'!$J$8+'Cracker Yields'!$K$8*'Financial Model (84 Months)'!BD15</f>
        <v>14526.098</v>
      </c>
      <c r="BE20" s="699">
        <f>BE12*'Cracker Yields'!$H$8+'Cracker Yields'!$I$8*'Financial Model (84 Months)'!BE13+'Financial Model (84 Months)'!BE14*'Cracker Yields'!$J$8+'Cracker Yields'!$K$8*'Financial Model (84 Months)'!BE15</f>
        <v>14526.098</v>
      </c>
      <c r="BF20" s="699">
        <f>BF12*'Cracker Yields'!$H$8+'Cracker Yields'!$I$8*'Financial Model (84 Months)'!BF13+'Financial Model (84 Months)'!BF14*'Cracker Yields'!$J$8+'Cracker Yields'!$K$8*'Financial Model (84 Months)'!BF15</f>
        <v>14526.098</v>
      </c>
      <c r="BG20" s="699">
        <f>BG12*'Cracker Yields'!$H$8+'Cracker Yields'!$I$8*'Financial Model (84 Months)'!BG13+'Financial Model (84 Months)'!BG14*'Cracker Yields'!$J$8+'Cracker Yields'!$K$8*'Financial Model (84 Months)'!BG15</f>
        <v>14526.098</v>
      </c>
      <c r="BH20" s="699">
        <f>BH12*'Cracker Yields'!$H$8+'Cracker Yields'!$I$8*'Financial Model (84 Months)'!BH13+'Financial Model (84 Months)'!BH14*'Cracker Yields'!$J$8+'Cracker Yields'!$K$8*'Financial Model (84 Months)'!BH15</f>
        <v>14526.098</v>
      </c>
      <c r="BI20" s="699">
        <f>BI12*'Cracker Yields'!$H$8+'Cracker Yields'!$I$8*'Financial Model (84 Months)'!BI13+'Financial Model (84 Months)'!BI14*'Cracker Yields'!$J$8+'Cracker Yields'!$K$8*'Financial Model (84 Months)'!BI15</f>
        <v>14526.098</v>
      </c>
      <c r="BJ20" s="699">
        <f>BJ12*'Cracker Yields'!$H$8+'Cracker Yields'!$I$8*'Financial Model (84 Months)'!BJ13+'Financial Model (84 Months)'!BJ14*'Cracker Yields'!$J$8+'Cracker Yields'!$K$8*'Financial Model (84 Months)'!BJ15</f>
        <v>14526.098</v>
      </c>
      <c r="BK20" s="699">
        <f>BK12*'Cracker Yields'!$H$8+'Cracker Yields'!$I$8*'Financial Model (84 Months)'!BK13+'Financial Model (84 Months)'!BK14*'Cracker Yields'!$J$8+'Cracker Yields'!$K$8*'Financial Model (84 Months)'!BK15</f>
        <v>14526.098</v>
      </c>
      <c r="BL20" s="699">
        <f>BL12*'Cracker Yields'!$H$8+'Cracker Yields'!$I$8*'Financial Model (84 Months)'!BL13+'Financial Model (84 Months)'!BL14*'Cracker Yields'!$J$8+'Cracker Yields'!$K$8*'Financial Model (84 Months)'!BL15</f>
        <v>14526.098</v>
      </c>
      <c r="BM20" s="699">
        <f>BM12*'Cracker Yields'!$H$8+'Cracker Yields'!$I$8*'Financial Model (84 Months)'!BM13+'Financial Model (84 Months)'!BM14*'Cracker Yields'!$J$8+'Cracker Yields'!$K$8*'Financial Model (84 Months)'!BM15</f>
        <v>14526.098</v>
      </c>
      <c r="BN20" s="699">
        <f>BN12*'Cracker Yields'!$H$8+'Cracker Yields'!$I$8*'Financial Model (84 Months)'!BN13+'Financial Model (84 Months)'!BN14*'Cracker Yields'!$J$8+'Cracker Yields'!$K$8*'Financial Model (84 Months)'!BN15</f>
        <v>14526.098</v>
      </c>
      <c r="BO20" s="699">
        <f>BO12*'Cracker Yields'!$H$8+'Cracker Yields'!$I$8*'Financial Model (84 Months)'!BO13+'Financial Model (84 Months)'!BO14*'Cracker Yields'!$J$8+'Cracker Yields'!$K$8*'Financial Model (84 Months)'!BO15</f>
        <v>14526.098</v>
      </c>
      <c r="BP20" s="699">
        <f>BP12*'Cracker Yields'!$H$8+'Cracker Yields'!$I$8*'Financial Model (84 Months)'!BP13+'Financial Model (84 Months)'!BP14*'Cracker Yields'!$J$8+'Cracker Yields'!$K$8*'Financial Model (84 Months)'!BP15</f>
        <v>14526.098</v>
      </c>
      <c r="BQ20" s="699">
        <f>BQ12*'Cracker Yields'!$H$8+'Cracker Yields'!$I$8*'Financial Model (84 Months)'!BQ13+'Financial Model (84 Months)'!BQ14*'Cracker Yields'!$J$8+'Cracker Yields'!$K$8*'Financial Model (84 Months)'!BQ15</f>
        <v>14526.098</v>
      </c>
      <c r="BR20" s="699">
        <f>BR12*'Cracker Yields'!$H$8+'Cracker Yields'!$I$8*'Financial Model (84 Months)'!BR13+'Financial Model (84 Months)'!BR14*'Cracker Yields'!$J$8+'Cracker Yields'!$K$8*'Financial Model (84 Months)'!BR15</f>
        <v>14526.098</v>
      </c>
      <c r="BS20" s="699">
        <f>BS12*'Cracker Yields'!$H$8+'Cracker Yields'!$I$8*'Financial Model (84 Months)'!BS13+'Financial Model (84 Months)'!BS14*'Cracker Yields'!$J$8+'Cracker Yields'!$K$8*'Financial Model (84 Months)'!BS15</f>
        <v>14526.098</v>
      </c>
      <c r="BT20" s="699">
        <f>BT12*'Cracker Yields'!$H$8+'Cracker Yields'!$I$8*'Financial Model (84 Months)'!BT13+'Financial Model (84 Months)'!BT14*'Cracker Yields'!$J$8+'Cracker Yields'!$K$8*'Financial Model (84 Months)'!BT15</f>
        <v>14526.098</v>
      </c>
      <c r="BU20" s="699">
        <f>BU12*'Cracker Yields'!$H$8+'Cracker Yields'!$I$8*'Financial Model (84 Months)'!BU13+'Financial Model (84 Months)'!BU14*'Cracker Yields'!$J$8+'Cracker Yields'!$K$8*'Financial Model (84 Months)'!BU15</f>
        <v>14526.098</v>
      </c>
      <c r="BV20" s="699">
        <f>BV12*'Cracker Yields'!$H$8+'Cracker Yields'!$I$8*'Financial Model (84 Months)'!BV13+'Financial Model (84 Months)'!BV14*'Cracker Yields'!$J$8+'Cracker Yields'!$K$8*'Financial Model (84 Months)'!BV15</f>
        <v>14526.098</v>
      </c>
      <c r="BW20" s="699">
        <f>BW12*'Cracker Yields'!$H$8+'Cracker Yields'!$I$8*'Financial Model (84 Months)'!BW13+'Financial Model (84 Months)'!BW14*'Cracker Yields'!$J$8+'Cracker Yields'!$K$8*'Financial Model (84 Months)'!BW15</f>
        <v>14526.098</v>
      </c>
      <c r="BX20" s="699">
        <f>BX12*'Cracker Yields'!$H$8+'Cracker Yields'!$I$8*'Financial Model (84 Months)'!BX13+'Financial Model (84 Months)'!BX14*'Cracker Yields'!$J$8+'Cracker Yields'!$K$8*'Financial Model (84 Months)'!BX15</f>
        <v>14526.098</v>
      </c>
      <c r="BY20" s="699">
        <f>BY12*'Cracker Yields'!$H$8+'Cracker Yields'!$I$8*'Financial Model (84 Months)'!BY13+'Financial Model (84 Months)'!BY14*'Cracker Yields'!$J$8+'Cracker Yields'!$K$8*'Financial Model (84 Months)'!BY15</f>
        <v>14526.098</v>
      </c>
      <c r="BZ20" s="699">
        <f>BZ12*'Cracker Yields'!$H$8+'Cracker Yields'!$I$8*'Financial Model (84 Months)'!BZ13+'Financial Model (84 Months)'!BZ14*'Cracker Yields'!$J$8+'Cracker Yields'!$K$8*'Financial Model (84 Months)'!BZ15</f>
        <v>14526.098</v>
      </c>
      <c r="CA20" s="699">
        <f>CA12*'Cracker Yields'!$H$8+'Cracker Yields'!$I$8*'Financial Model (84 Months)'!CA13+'Financial Model (84 Months)'!CA14*'Cracker Yields'!$J$8+'Cracker Yields'!$K$8*'Financial Model (84 Months)'!CA15</f>
        <v>14526.098</v>
      </c>
      <c r="CB20" s="699">
        <f>CB12*'Cracker Yields'!$H$8+'Cracker Yields'!$I$8*'Financial Model (84 Months)'!CB13+'Financial Model (84 Months)'!CB14*'Cracker Yields'!$J$8+'Cracker Yields'!$K$8*'Financial Model (84 Months)'!CB15</f>
        <v>14526.098</v>
      </c>
      <c r="CC20" s="699">
        <f>CC12*'Cracker Yields'!$H$8+'Cracker Yields'!$I$8*'Financial Model (84 Months)'!CC13+'Financial Model (84 Months)'!CC14*'Cracker Yields'!$J$8+'Cracker Yields'!$K$8*'Financial Model (84 Months)'!CC15</f>
        <v>14526.098</v>
      </c>
      <c r="CD20" s="699">
        <f>CD12*'Cracker Yields'!$H$8+'Cracker Yields'!$I$8*'Financial Model (84 Months)'!CD13+'Financial Model (84 Months)'!CD14*'Cracker Yields'!$J$8+'Cracker Yields'!$K$8*'Financial Model (84 Months)'!CD15</f>
        <v>14526.098</v>
      </c>
      <c r="CE20" s="699">
        <f>CE12*'Cracker Yields'!$H$8+'Cracker Yields'!$I$8*'Financial Model (84 Months)'!CE13+'Financial Model (84 Months)'!CE14*'Cracker Yields'!$J$8+'Cracker Yields'!$K$8*'Financial Model (84 Months)'!CE15</f>
        <v>14526.098</v>
      </c>
      <c r="CF20" s="699">
        <f>CF12*'Cracker Yields'!$H$8+'Cracker Yields'!$I$8*'Financial Model (84 Months)'!CF13+'Financial Model (84 Months)'!CF14*'Cracker Yields'!$J$8+'Cracker Yields'!$K$8*'Financial Model (84 Months)'!CF15</f>
        <v>14526.098</v>
      </c>
      <c r="CG20" s="699">
        <f>CG12*'Cracker Yields'!$H$8+'Cracker Yields'!$I$8*'Financial Model (84 Months)'!CG13+'Financial Model (84 Months)'!CG14*'Cracker Yields'!$J$8+'Cracker Yields'!$K$8*'Financial Model (84 Months)'!CG15</f>
        <v>14526.098</v>
      </c>
      <c r="CH20" s="699">
        <f>CH12*'Cracker Yields'!$H$8+'Cracker Yields'!$I$8*'Financial Model (84 Months)'!CH13+'Financial Model (84 Months)'!CH14*'Cracker Yields'!$J$8+'Cracker Yields'!$K$8*'Financial Model (84 Months)'!CH15</f>
        <v>14526.098</v>
      </c>
      <c r="CI20" s="699">
        <f>CI12*'Cracker Yields'!$H$8+'Cracker Yields'!$I$8*'Financial Model (84 Months)'!CI13+'Financial Model (84 Months)'!CI14*'Cracker Yields'!$J$8+'Cracker Yields'!$K$8*'Financial Model (84 Months)'!CI15</f>
        <v>14526.098</v>
      </c>
      <c r="CJ20" s="699">
        <f>CJ12*'Cracker Yields'!$H$8+'Cracker Yields'!$I$8*'Financial Model (84 Months)'!CJ13+'Financial Model (84 Months)'!CJ14*'Cracker Yields'!$J$8+'Cracker Yields'!$K$8*'Financial Model (84 Months)'!CJ15</f>
        <v>14526.098</v>
      </c>
      <c r="CK20" s="699">
        <f>CK12*'Cracker Yields'!$H$8+'Cracker Yields'!$I$8*'Financial Model (84 Months)'!CK13+'Financial Model (84 Months)'!CK14*'Cracker Yields'!$J$8+'Cracker Yields'!$K$8*'Financial Model (84 Months)'!CK15</f>
        <v>14526.098</v>
      </c>
      <c r="CL20" s="699">
        <f>CL12*'Cracker Yields'!$H$8+'Cracker Yields'!$I$8*'Financial Model (84 Months)'!CL13+'Financial Model (84 Months)'!CL14*'Cracker Yields'!$J$8+'Cracker Yields'!$K$8*'Financial Model (84 Months)'!CL15</f>
        <v>14526.098</v>
      </c>
      <c r="CM20" s="642">
        <f t="shared" si="0"/>
        <v>14526.098000000002</v>
      </c>
      <c r="CN20" s="245"/>
      <c r="CO20" s="245"/>
      <c r="CP20" s="245"/>
      <c r="CQ20" s="245"/>
      <c r="CR20" s="245"/>
      <c r="CS20" s="245"/>
      <c r="CT20" s="245"/>
      <c r="CU20" s="245"/>
      <c r="CV20" s="245"/>
      <c r="CW20" s="245"/>
      <c r="CX20" s="245"/>
      <c r="CY20" s="245"/>
      <c r="CZ20" s="245"/>
      <c r="DA20" s="245"/>
      <c r="DB20" s="245"/>
      <c r="DC20" s="245"/>
      <c r="DD20" s="245"/>
      <c r="DE20" s="245"/>
      <c r="DF20" s="245"/>
      <c r="DG20" s="245"/>
      <c r="DH20" s="245"/>
      <c r="DI20" s="245"/>
      <c r="DJ20" s="245"/>
      <c r="DK20" s="245"/>
      <c r="DL20" s="245"/>
      <c r="DM20" s="245"/>
      <c r="DN20" s="245"/>
      <c r="DO20" s="245"/>
      <c r="DP20" s="245"/>
      <c r="DQ20" s="245"/>
      <c r="DR20" s="245"/>
      <c r="DS20" s="245"/>
      <c r="DT20" s="245"/>
      <c r="DU20" s="245"/>
      <c r="DV20" s="245"/>
      <c r="DW20" s="245"/>
      <c r="DX20" s="245"/>
      <c r="DY20" s="245"/>
      <c r="DZ20" s="245"/>
      <c r="EA20" s="245"/>
      <c r="EB20" s="245"/>
      <c r="EC20" s="245"/>
      <c r="ED20" s="245"/>
      <c r="EE20" s="245"/>
      <c r="EF20" s="245"/>
      <c r="EG20" s="245"/>
      <c r="EH20" s="245"/>
      <c r="EI20" s="245"/>
      <c r="EJ20" s="245"/>
      <c r="EK20" s="245"/>
      <c r="EL20" s="245"/>
      <c r="EM20" s="245"/>
      <c r="EN20" s="245"/>
      <c r="EO20" s="245"/>
      <c r="EP20" s="245"/>
      <c r="EQ20" s="245"/>
      <c r="ER20" s="245"/>
      <c r="ES20" s="245"/>
      <c r="ET20" s="245"/>
      <c r="EU20" s="245"/>
      <c r="EV20" s="245"/>
      <c r="EW20" s="245"/>
      <c r="EX20" s="245"/>
      <c r="EY20" s="245"/>
      <c r="EZ20" s="245"/>
      <c r="FA20" s="245"/>
      <c r="FB20" s="245"/>
      <c r="FC20" s="245"/>
      <c r="FD20" s="245"/>
      <c r="FE20" s="245"/>
      <c r="FF20" s="245"/>
      <c r="FG20" s="245"/>
      <c r="FH20" s="245"/>
      <c r="FI20" s="245"/>
      <c r="FJ20" s="245"/>
      <c r="FK20" s="245"/>
      <c r="FL20" s="245"/>
      <c r="FM20" s="245"/>
      <c r="FN20" s="245"/>
      <c r="FO20" s="245"/>
      <c r="FP20" s="245"/>
      <c r="FQ20" s="245"/>
      <c r="FR20" s="245"/>
      <c r="FS20" s="245"/>
      <c r="FT20" s="245"/>
      <c r="FU20" s="245"/>
      <c r="FV20" s="245"/>
    </row>
    <row r="21" spans="1:178">
      <c r="A21" s="1042"/>
      <c r="B21" s="639" t="s">
        <v>309</v>
      </c>
      <c r="C21" s="640" t="s">
        <v>310</v>
      </c>
      <c r="D21" s="640"/>
      <c r="E21" s="1045"/>
      <c r="F21" s="698" t="str">
        <f>F10</f>
        <v xml:space="preserve"> CBFS </v>
      </c>
      <c r="G21" s="699">
        <f>G12*'Cracker Yields'!$H$5+'Cracker Yields'!$I$5*'Financial Model (84 Months)'!G13+'Financial Model (84 Months)'!G14*'Cracker Yields'!$J$5+'Cracker Yields'!$K$5*'Financial Model (84 Months)'!G15</f>
        <v>5746.7666666666664</v>
      </c>
      <c r="H21" s="699">
        <f>H12*'Cracker Yields'!$H$5+'Cracker Yields'!$I$5*'Financial Model (84 Months)'!H13+'Financial Model (84 Months)'!H14*'Cracker Yields'!$J$5+'Cracker Yields'!$K$5*'Financial Model (84 Months)'!H15</f>
        <v>5746.7666666666664</v>
      </c>
      <c r="I21" s="699">
        <f>I12*'Cracker Yields'!$H$5+'Cracker Yields'!$I$5*'Financial Model (84 Months)'!I13+'Financial Model (84 Months)'!I14*'Cracker Yields'!$J$5+'Cracker Yields'!$K$5*'Financial Model (84 Months)'!I15</f>
        <v>5746.7666666666664</v>
      </c>
      <c r="J21" s="699">
        <f>J12*'Cracker Yields'!$H$5+'Cracker Yields'!$I$5*'Financial Model (84 Months)'!J13+'Financial Model (84 Months)'!J14*'Cracker Yields'!$J$5+'Cracker Yields'!$K$5*'Financial Model (84 Months)'!J15</f>
        <v>5746.7666666666664</v>
      </c>
      <c r="K21" s="699">
        <f>K12*'Cracker Yields'!$H$5+'Cracker Yields'!$I$5*'Financial Model (84 Months)'!K13+'Financial Model (84 Months)'!K14*'Cracker Yields'!$J$5+'Cracker Yields'!$K$5*'Financial Model (84 Months)'!K15</f>
        <v>5746.7666666666664</v>
      </c>
      <c r="L21" s="699">
        <f>L12*'Cracker Yields'!$H$5+'Cracker Yields'!$I$5*'Financial Model (84 Months)'!L13+'Financial Model (84 Months)'!L14*'Cracker Yields'!$J$5+'Cracker Yields'!$K$5*'Financial Model (84 Months)'!L15</f>
        <v>5746.7666666666664</v>
      </c>
      <c r="M21" s="699">
        <f>M12*'Cracker Yields'!$H$5+'Cracker Yields'!$I$5*'Financial Model (84 Months)'!M13+'Financial Model (84 Months)'!M14*'Cracker Yields'!$J$5+'Cracker Yields'!$K$5*'Financial Model (84 Months)'!M15</f>
        <v>5746.7666666666664</v>
      </c>
      <c r="N21" s="699">
        <f>N12*'Cracker Yields'!$H$5+'Cracker Yields'!$I$5*'Financial Model (84 Months)'!N13+'Financial Model (84 Months)'!N14*'Cracker Yields'!$J$5+'Cracker Yields'!$K$5*'Financial Model (84 Months)'!N15</f>
        <v>5746.7666666666664</v>
      </c>
      <c r="O21" s="699">
        <f>O12*'Cracker Yields'!$H$5+'Cracker Yields'!$I$5*'Financial Model (84 Months)'!O13+'Financial Model (84 Months)'!O14*'Cracker Yields'!$J$5+'Cracker Yields'!$K$5*'Financial Model (84 Months)'!O15</f>
        <v>5746.7666666666664</v>
      </c>
      <c r="P21" s="699">
        <f>P12*'Cracker Yields'!$H$5+'Cracker Yields'!$I$5*'Financial Model (84 Months)'!P13+'Financial Model (84 Months)'!P14*'Cracker Yields'!$J$5+'Cracker Yields'!$K$5*'Financial Model (84 Months)'!P15</f>
        <v>5746.7666666666664</v>
      </c>
      <c r="Q21" s="699">
        <f>Q12*'Cracker Yields'!$H$5+'Cracker Yields'!$I$5*'Financial Model (84 Months)'!Q13+'Financial Model (84 Months)'!Q14*'Cracker Yields'!$J$5+'Cracker Yields'!$K$5*'Financial Model (84 Months)'!Q15</f>
        <v>5746.7666666666664</v>
      </c>
      <c r="R21" s="699">
        <f>R12*'Cracker Yields'!$H$5+'Cracker Yields'!$I$5*'Financial Model (84 Months)'!R13+'Financial Model (84 Months)'!R14*'Cracker Yields'!$J$5+'Cracker Yields'!$K$5*'Financial Model (84 Months)'!R15</f>
        <v>5746.7666666666664</v>
      </c>
      <c r="S21" s="699">
        <f>S12*'Cracker Yields'!$H$5+'Cracker Yields'!$I$5*'Financial Model (84 Months)'!S13+'Financial Model (84 Months)'!S14*'Cracker Yields'!$J$5+'Cracker Yields'!$K$5*'Financial Model (84 Months)'!S15</f>
        <v>5746.7666666666664</v>
      </c>
      <c r="T21" s="699">
        <f>T12*'Cracker Yields'!$H$5+'Cracker Yields'!$I$5*'Financial Model (84 Months)'!T13+'Financial Model (84 Months)'!T14*'Cracker Yields'!$J$5+'Cracker Yields'!$K$5*'Financial Model (84 Months)'!T15</f>
        <v>5746.7666666666664</v>
      </c>
      <c r="U21" s="699">
        <f>U12*'Cracker Yields'!$H$5+'Cracker Yields'!$I$5*'Financial Model (84 Months)'!U13+'Financial Model (84 Months)'!U14*'Cracker Yields'!$J$5+'Cracker Yields'!$K$5*'Financial Model (84 Months)'!U15</f>
        <v>5746.7666666666664</v>
      </c>
      <c r="V21" s="699">
        <f>V12*'Cracker Yields'!$H$5+'Cracker Yields'!$I$5*'Financial Model (84 Months)'!V13+'Financial Model (84 Months)'!V14*'Cracker Yields'!$J$5+'Cracker Yields'!$K$5*'Financial Model (84 Months)'!V15</f>
        <v>5746.7666666666664</v>
      </c>
      <c r="W21" s="699">
        <f>W12*'Cracker Yields'!$H$5+'Cracker Yields'!$I$5*'Financial Model (84 Months)'!W13+'Financial Model (84 Months)'!W14*'Cracker Yields'!$J$5+'Cracker Yields'!$K$5*'Financial Model (84 Months)'!W15</f>
        <v>5746.7666666666664</v>
      </c>
      <c r="X21" s="699">
        <f>X12*'Cracker Yields'!$H$5+'Cracker Yields'!$I$5*'Financial Model (84 Months)'!X13+'Financial Model (84 Months)'!X14*'Cracker Yields'!$J$5+'Cracker Yields'!$K$5*'Financial Model (84 Months)'!X15</f>
        <v>5746.7666666666664</v>
      </c>
      <c r="Y21" s="699">
        <f>Y12*'Cracker Yields'!$H$5+'Cracker Yields'!$I$5*'Financial Model (84 Months)'!Y13+'Financial Model (84 Months)'!Y14*'Cracker Yields'!$J$5+'Cracker Yields'!$K$5*'Financial Model (84 Months)'!Y15</f>
        <v>5746.7666666666664</v>
      </c>
      <c r="Z21" s="699">
        <f>Z12*'Cracker Yields'!$H$5+'Cracker Yields'!$I$5*'Financial Model (84 Months)'!Z13+'Financial Model (84 Months)'!Z14*'Cracker Yields'!$J$5+'Cracker Yields'!$K$5*'Financial Model (84 Months)'!Z15</f>
        <v>5746.7666666666664</v>
      </c>
      <c r="AA21" s="699">
        <f>AA12*'Cracker Yields'!$H$5+'Cracker Yields'!$I$5*'Financial Model (84 Months)'!AA13+'Financial Model (84 Months)'!AA14*'Cracker Yields'!$J$5+'Cracker Yields'!$K$5*'Financial Model (84 Months)'!AA15</f>
        <v>5746.7666666666664</v>
      </c>
      <c r="AB21" s="699">
        <f>AB12*'Cracker Yields'!$H$5+'Cracker Yields'!$I$5*'Financial Model (84 Months)'!AB13+'Financial Model (84 Months)'!AB14*'Cracker Yields'!$J$5+'Cracker Yields'!$K$5*'Financial Model (84 Months)'!AB15</f>
        <v>5746.7666666666664</v>
      </c>
      <c r="AC21" s="699">
        <f>AC12*'Cracker Yields'!$H$5+'Cracker Yields'!$I$5*'Financial Model (84 Months)'!AC13+'Financial Model (84 Months)'!AC14*'Cracker Yields'!$J$5+'Cracker Yields'!$K$5*'Financial Model (84 Months)'!AC15</f>
        <v>5746.7666666666664</v>
      </c>
      <c r="AD21" s="699">
        <f>AD12*'Cracker Yields'!$H$5+'Cracker Yields'!$I$5*'Financial Model (84 Months)'!AD13+'Financial Model (84 Months)'!AD14*'Cracker Yields'!$J$5+'Cracker Yields'!$K$5*'Financial Model (84 Months)'!AD15</f>
        <v>5746.7666666666664</v>
      </c>
      <c r="AE21" s="699">
        <f>AE12*'Cracker Yields'!$H$5+'Cracker Yields'!$I$5*'Financial Model (84 Months)'!AE13+'Financial Model (84 Months)'!AE14*'Cracker Yields'!$J$5+'Cracker Yields'!$K$5*'Financial Model (84 Months)'!AE15</f>
        <v>5746.7666666666664</v>
      </c>
      <c r="AF21" s="699">
        <f>AF12*'Cracker Yields'!$H$5+'Cracker Yields'!$I$5*'Financial Model (84 Months)'!AF13+'Financial Model (84 Months)'!AF14*'Cracker Yields'!$J$5+'Cracker Yields'!$K$5*'Financial Model (84 Months)'!AF15</f>
        <v>5746.7666666666664</v>
      </c>
      <c r="AG21" s="699">
        <f>AG12*'Cracker Yields'!$H$5+'Cracker Yields'!$I$5*'Financial Model (84 Months)'!AG13+'Financial Model (84 Months)'!AG14*'Cracker Yields'!$J$5+'Cracker Yields'!$K$5*'Financial Model (84 Months)'!AG15</f>
        <v>5746.7666666666664</v>
      </c>
      <c r="AH21" s="699">
        <f>AH12*'Cracker Yields'!$H$5+'Cracker Yields'!$I$5*'Financial Model (84 Months)'!AH13+'Financial Model (84 Months)'!AH14*'Cracker Yields'!$J$5+'Cracker Yields'!$K$5*'Financial Model (84 Months)'!AH15</f>
        <v>5746.7666666666664</v>
      </c>
      <c r="AI21" s="699">
        <f>AI12*'Cracker Yields'!$H$5+'Cracker Yields'!$I$5*'Financial Model (84 Months)'!AI13+'Financial Model (84 Months)'!AI14*'Cracker Yields'!$J$5+'Cracker Yields'!$K$5*'Financial Model (84 Months)'!AI15</f>
        <v>5746.7666666666664</v>
      </c>
      <c r="AJ21" s="699">
        <f>AJ12*'Cracker Yields'!$H$5+'Cracker Yields'!$I$5*'Financial Model (84 Months)'!AJ13+'Financial Model (84 Months)'!AJ14*'Cracker Yields'!$J$5+'Cracker Yields'!$K$5*'Financial Model (84 Months)'!AJ15</f>
        <v>5746.7666666666664</v>
      </c>
      <c r="AK21" s="699">
        <f>AK12*'Cracker Yields'!$H$5+'Cracker Yields'!$I$5*'Financial Model (84 Months)'!AK13+'Financial Model (84 Months)'!AK14*'Cracker Yields'!$J$5+'Cracker Yields'!$K$5*'Financial Model (84 Months)'!AK15</f>
        <v>5746.7666666666664</v>
      </c>
      <c r="AL21" s="699">
        <f>AL12*'Cracker Yields'!$H$5+'Cracker Yields'!$I$5*'Financial Model (84 Months)'!AL13+'Financial Model (84 Months)'!AL14*'Cracker Yields'!$J$5+'Cracker Yields'!$K$5*'Financial Model (84 Months)'!AL15</f>
        <v>5746.7666666666664</v>
      </c>
      <c r="AM21" s="699">
        <f>AM12*'Cracker Yields'!$H$5+'Cracker Yields'!$I$5*'Financial Model (84 Months)'!AM13+'Financial Model (84 Months)'!AM14*'Cracker Yields'!$J$5+'Cracker Yields'!$K$5*'Financial Model (84 Months)'!AM15</f>
        <v>5746.7666666666664</v>
      </c>
      <c r="AN21" s="699">
        <f>AN12*'Cracker Yields'!$H$5+'Cracker Yields'!$I$5*'Financial Model (84 Months)'!AN13+'Financial Model (84 Months)'!AN14*'Cracker Yields'!$J$5+'Cracker Yields'!$K$5*'Financial Model (84 Months)'!AN15</f>
        <v>5746.7666666666664</v>
      </c>
      <c r="AO21" s="699">
        <f>AO12*'Cracker Yields'!$H$5+'Cracker Yields'!$I$5*'Financial Model (84 Months)'!AO13+'Financial Model (84 Months)'!AO14*'Cracker Yields'!$J$5+'Cracker Yields'!$K$5*'Financial Model (84 Months)'!AO15</f>
        <v>5746.7666666666664</v>
      </c>
      <c r="AP21" s="699">
        <f>AP12*'Cracker Yields'!$H$5+'Cracker Yields'!$I$5*'Financial Model (84 Months)'!AP13+'Financial Model (84 Months)'!AP14*'Cracker Yields'!$J$5+'Cracker Yields'!$K$5*'Financial Model (84 Months)'!AP15</f>
        <v>5746.7666666666664</v>
      </c>
      <c r="AQ21" s="699">
        <f>AQ12*'Cracker Yields'!$H$5+'Cracker Yields'!$I$5*'Financial Model (84 Months)'!AQ13+'Financial Model (84 Months)'!AQ14*'Cracker Yields'!$J$5+'Cracker Yields'!$K$5*'Financial Model (84 Months)'!AQ15</f>
        <v>5746.7666666666664</v>
      </c>
      <c r="AR21" s="699">
        <f>AR12*'Cracker Yields'!$H$5+'Cracker Yields'!$I$5*'Financial Model (84 Months)'!AR13+'Financial Model (84 Months)'!AR14*'Cracker Yields'!$J$5+'Cracker Yields'!$K$5*'Financial Model (84 Months)'!AR15</f>
        <v>5746.7666666666664</v>
      </c>
      <c r="AS21" s="699">
        <f>AS12*'Cracker Yields'!$H$5+'Cracker Yields'!$I$5*'Financial Model (84 Months)'!AS13+'Financial Model (84 Months)'!AS14*'Cracker Yields'!$J$5+'Cracker Yields'!$K$5*'Financial Model (84 Months)'!AS15</f>
        <v>5746.7666666666664</v>
      </c>
      <c r="AT21" s="699">
        <f>AT12*'Cracker Yields'!$H$5+'Cracker Yields'!$I$5*'Financial Model (84 Months)'!AT13+'Financial Model (84 Months)'!AT14*'Cracker Yields'!$J$5+'Cracker Yields'!$K$5*'Financial Model (84 Months)'!AT15</f>
        <v>5746.7666666666664</v>
      </c>
      <c r="AU21" s="699">
        <f>AU12*'Cracker Yields'!$H$5+'Cracker Yields'!$I$5*'Financial Model (84 Months)'!AU13+'Financial Model (84 Months)'!AU14*'Cracker Yields'!$J$5+'Cracker Yields'!$K$5*'Financial Model (84 Months)'!AU15</f>
        <v>5746.7666666666664</v>
      </c>
      <c r="AV21" s="699">
        <f>AV12*'Cracker Yields'!$H$5+'Cracker Yields'!$I$5*'Financial Model (84 Months)'!AV13+'Financial Model (84 Months)'!AV14*'Cracker Yields'!$J$5+'Cracker Yields'!$K$5*'Financial Model (84 Months)'!AV15</f>
        <v>5746.7666666666664</v>
      </c>
      <c r="AW21" s="699">
        <f>AW12*'Cracker Yields'!$H$5+'Cracker Yields'!$I$5*'Financial Model (84 Months)'!AW13+'Financial Model (84 Months)'!AW14*'Cracker Yields'!$J$5+'Cracker Yields'!$K$5*'Financial Model (84 Months)'!AW15</f>
        <v>5746.7666666666664</v>
      </c>
      <c r="AX21" s="699">
        <f>AX12*'Cracker Yields'!$H$5+'Cracker Yields'!$I$5*'Financial Model (84 Months)'!AX13+'Financial Model (84 Months)'!AX14*'Cracker Yields'!$J$5+'Cracker Yields'!$K$5*'Financial Model (84 Months)'!AX15</f>
        <v>5746.7666666666664</v>
      </c>
      <c r="AY21" s="699">
        <f>AY12*'Cracker Yields'!$H$5+'Cracker Yields'!$I$5*'Financial Model (84 Months)'!AY13+'Financial Model (84 Months)'!AY14*'Cracker Yields'!$J$5+'Cracker Yields'!$K$5*'Financial Model (84 Months)'!AY15</f>
        <v>5746.7666666666664</v>
      </c>
      <c r="AZ21" s="699">
        <f>AZ12*'Cracker Yields'!$H$5+'Cracker Yields'!$I$5*'Financial Model (84 Months)'!AZ13+'Financial Model (84 Months)'!AZ14*'Cracker Yields'!$J$5+'Cracker Yields'!$K$5*'Financial Model (84 Months)'!AZ15</f>
        <v>5746.7666666666664</v>
      </c>
      <c r="BA21" s="699">
        <f>BA12*'Cracker Yields'!$H$5+'Cracker Yields'!$I$5*'Financial Model (84 Months)'!BA13+'Financial Model (84 Months)'!BA14*'Cracker Yields'!$J$5+'Cracker Yields'!$K$5*'Financial Model (84 Months)'!BA15</f>
        <v>5746.7666666666664</v>
      </c>
      <c r="BB21" s="699">
        <f>BB12*'Cracker Yields'!$H$5+'Cracker Yields'!$I$5*'Financial Model (84 Months)'!BB13+'Financial Model (84 Months)'!BB14*'Cracker Yields'!$J$5+'Cracker Yields'!$K$5*'Financial Model (84 Months)'!BB15</f>
        <v>5746.7666666666664</v>
      </c>
      <c r="BC21" s="699">
        <f>BC12*'Cracker Yields'!$H$5+'Cracker Yields'!$I$5*'Financial Model (84 Months)'!BC13+'Financial Model (84 Months)'!BC14*'Cracker Yields'!$J$5+'Cracker Yields'!$K$5*'Financial Model (84 Months)'!BC15</f>
        <v>5746.7666666666664</v>
      </c>
      <c r="BD21" s="699">
        <f>BD12*'Cracker Yields'!$H$5+'Cracker Yields'!$I$5*'Financial Model (84 Months)'!BD13+'Financial Model (84 Months)'!BD14*'Cracker Yields'!$J$5+'Cracker Yields'!$K$5*'Financial Model (84 Months)'!BD15</f>
        <v>5746.7666666666664</v>
      </c>
      <c r="BE21" s="699">
        <f>BE12*'Cracker Yields'!$H$5+'Cracker Yields'!$I$5*'Financial Model (84 Months)'!BE13+'Financial Model (84 Months)'!BE14*'Cracker Yields'!$J$5+'Cracker Yields'!$K$5*'Financial Model (84 Months)'!BE15</f>
        <v>5746.7666666666664</v>
      </c>
      <c r="BF21" s="699">
        <f>BF12*'Cracker Yields'!$H$5+'Cracker Yields'!$I$5*'Financial Model (84 Months)'!BF13+'Financial Model (84 Months)'!BF14*'Cracker Yields'!$J$5+'Cracker Yields'!$K$5*'Financial Model (84 Months)'!BF15</f>
        <v>5746.7666666666664</v>
      </c>
      <c r="BG21" s="699">
        <f>BG12*'Cracker Yields'!$H$5+'Cracker Yields'!$I$5*'Financial Model (84 Months)'!BG13+'Financial Model (84 Months)'!BG14*'Cracker Yields'!$J$5+'Cracker Yields'!$K$5*'Financial Model (84 Months)'!BG15</f>
        <v>5746.7666666666664</v>
      </c>
      <c r="BH21" s="699">
        <f>BH12*'Cracker Yields'!$H$5+'Cracker Yields'!$I$5*'Financial Model (84 Months)'!BH13+'Financial Model (84 Months)'!BH14*'Cracker Yields'!$J$5+'Cracker Yields'!$K$5*'Financial Model (84 Months)'!BH15</f>
        <v>5746.7666666666664</v>
      </c>
      <c r="BI21" s="699">
        <f>BI12*'Cracker Yields'!$H$5+'Cracker Yields'!$I$5*'Financial Model (84 Months)'!BI13+'Financial Model (84 Months)'!BI14*'Cracker Yields'!$J$5+'Cracker Yields'!$K$5*'Financial Model (84 Months)'!BI15</f>
        <v>5746.7666666666664</v>
      </c>
      <c r="BJ21" s="699">
        <f>BJ12*'Cracker Yields'!$H$5+'Cracker Yields'!$I$5*'Financial Model (84 Months)'!BJ13+'Financial Model (84 Months)'!BJ14*'Cracker Yields'!$J$5+'Cracker Yields'!$K$5*'Financial Model (84 Months)'!BJ15</f>
        <v>5746.7666666666664</v>
      </c>
      <c r="BK21" s="699">
        <f>BK12*'Cracker Yields'!$H$5+'Cracker Yields'!$I$5*'Financial Model (84 Months)'!BK13+'Financial Model (84 Months)'!BK14*'Cracker Yields'!$J$5+'Cracker Yields'!$K$5*'Financial Model (84 Months)'!BK15</f>
        <v>5746.7666666666664</v>
      </c>
      <c r="BL21" s="699">
        <f>BL12*'Cracker Yields'!$H$5+'Cracker Yields'!$I$5*'Financial Model (84 Months)'!BL13+'Financial Model (84 Months)'!BL14*'Cracker Yields'!$J$5+'Cracker Yields'!$K$5*'Financial Model (84 Months)'!BL15</f>
        <v>5746.7666666666664</v>
      </c>
      <c r="BM21" s="699">
        <f>BM12*'Cracker Yields'!$H$5+'Cracker Yields'!$I$5*'Financial Model (84 Months)'!BM13+'Financial Model (84 Months)'!BM14*'Cracker Yields'!$J$5+'Cracker Yields'!$K$5*'Financial Model (84 Months)'!BM15</f>
        <v>5746.7666666666664</v>
      </c>
      <c r="BN21" s="699">
        <f>BN12*'Cracker Yields'!$H$5+'Cracker Yields'!$I$5*'Financial Model (84 Months)'!BN13+'Financial Model (84 Months)'!BN14*'Cracker Yields'!$J$5+'Cracker Yields'!$K$5*'Financial Model (84 Months)'!BN15</f>
        <v>5746.7666666666664</v>
      </c>
      <c r="BO21" s="699">
        <f>BO12*'Cracker Yields'!$H$5+'Cracker Yields'!$I$5*'Financial Model (84 Months)'!BO13+'Financial Model (84 Months)'!BO14*'Cracker Yields'!$J$5+'Cracker Yields'!$K$5*'Financial Model (84 Months)'!BO15</f>
        <v>5746.7666666666664</v>
      </c>
      <c r="BP21" s="699">
        <f>BP12*'Cracker Yields'!$H$5+'Cracker Yields'!$I$5*'Financial Model (84 Months)'!BP13+'Financial Model (84 Months)'!BP14*'Cracker Yields'!$J$5+'Cracker Yields'!$K$5*'Financial Model (84 Months)'!BP15</f>
        <v>5746.7666666666664</v>
      </c>
      <c r="BQ21" s="699">
        <f>BQ12*'Cracker Yields'!$H$5+'Cracker Yields'!$I$5*'Financial Model (84 Months)'!BQ13+'Financial Model (84 Months)'!BQ14*'Cracker Yields'!$J$5+'Cracker Yields'!$K$5*'Financial Model (84 Months)'!BQ15</f>
        <v>5746.7666666666664</v>
      </c>
      <c r="BR21" s="699">
        <f>BR12*'Cracker Yields'!$H$5+'Cracker Yields'!$I$5*'Financial Model (84 Months)'!BR13+'Financial Model (84 Months)'!BR14*'Cracker Yields'!$J$5+'Cracker Yields'!$K$5*'Financial Model (84 Months)'!BR15</f>
        <v>5746.7666666666664</v>
      </c>
      <c r="BS21" s="699">
        <f>BS12*'Cracker Yields'!$H$5+'Cracker Yields'!$I$5*'Financial Model (84 Months)'!BS13+'Financial Model (84 Months)'!BS14*'Cracker Yields'!$J$5+'Cracker Yields'!$K$5*'Financial Model (84 Months)'!BS15</f>
        <v>5746.7666666666664</v>
      </c>
      <c r="BT21" s="699">
        <f>BT12*'Cracker Yields'!$H$5+'Cracker Yields'!$I$5*'Financial Model (84 Months)'!BT13+'Financial Model (84 Months)'!BT14*'Cracker Yields'!$J$5+'Cracker Yields'!$K$5*'Financial Model (84 Months)'!BT15</f>
        <v>5746.7666666666664</v>
      </c>
      <c r="BU21" s="699">
        <f>BU12*'Cracker Yields'!$H$5+'Cracker Yields'!$I$5*'Financial Model (84 Months)'!BU13+'Financial Model (84 Months)'!BU14*'Cracker Yields'!$J$5+'Cracker Yields'!$K$5*'Financial Model (84 Months)'!BU15</f>
        <v>5746.7666666666664</v>
      </c>
      <c r="BV21" s="699">
        <f>BV12*'Cracker Yields'!$H$5+'Cracker Yields'!$I$5*'Financial Model (84 Months)'!BV13+'Financial Model (84 Months)'!BV14*'Cracker Yields'!$J$5+'Cracker Yields'!$K$5*'Financial Model (84 Months)'!BV15</f>
        <v>5746.7666666666664</v>
      </c>
      <c r="BW21" s="699">
        <f>BW12*'Cracker Yields'!$H$5+'Cracker Yields'!$I$5*'Financial Model (84 Months)'!BW13+'Financial Model (84 Months)'!BW14*'Cracker Yields'!$J$5+'Cracker Yields'!$K$5*'Financial Model (84 Months)'!BW15</f>
        <v>5746.7666666666664</v>
      </c>
      <c r="BX21" s="699">
        <f>BX12*'Cracker Yields'!$H$5+'Cracker Yields'!$I$5*'Financial Model (84 Months)'!BX13+'Financial Model (84 Months)'!BX14*'Cracker Yields'!$J$5+'Cracker Yields'!$K$5*'Financial Model (84 Months)'!BX15</f>
        <v>5746.7666666666664</v>
      </c>
      <c r="BY21" s="699">
        <f>BY12*'Cracker Yields'!$H$5+'Cracker Yields'!$I$5*'Financial Model (84 Months)'!BY13+'Financial Model (84 Months)'!BY14*'Cracker Yields'!$J$5+'Cracker Yields'!$K$5*'Financial Model (84 Months)'!BY15</f>
        <v>5746.7666666666664</v>
      </c>
      <c r="BZ21" s="699">
        <f>BZ12*'Cracker Yields'!$H$5+'Cracker Yields'!$I$5*'Financial Model (84 Months)'!BZ13+'Financial Model (84 Months)'!BZ14*'Cracker Yields'!$J$5+'Cracker Yields'!$K$5*'Financial Model (84 Months)'!BZ15</f>
        <v>5746.7666666666664</v>
      </c>
      <c r="CA21" s="699">
        <f>CA12*'Cracker Yields'!$H$5+'Cracker Yields'!$I$5*'Financial Model (84 Months)'!CA13+'Financial Model (84 Months)'!CA14*'Cracker Yields'!$J$5+'Cracker Yields'!$K$5*'Financial Model (84 Months)'!CA15</f>
        <v>5746.7666666666664</v>
      </c>
      <c r="CB21" s="699">
        <f>CB12*'Cracker Yields'!$H$5+'Cracker Yields'!$I$5*'Financial Model (84 Months)'!CB13+'Financial Model (84 Months)'!CB14*'Cracker Yields'!$J$5+'Cracker Yields'!$K$5*'Financial Model (84 Months)'!CB15</f>
        <v>5746.7666666666664</v>
      </c>
      <c r="CC21" s="699">
        <f>CC12*'Cracker Yields'!$H$5+'Cracker Yields'!$I$5*'Financial Model (84 Months)'!CC13+'Financial Model (84 Months)'!CC14*'Cracker Yields'!$J$5+'Cracker Yields'!$K$5*'Financial Model (84 Months)'!CC15</f>
        <v>5746.7666666666664</v>
      </c>
      <c r="CD21" s="699">
        <f>CD12*'Cracker Yields'!$H$5+'Cracker Yields'!$I$5*'Financial Model (84 Months)'!CD13+'Financial Model (84 Months)'!CD14*'Cracker Yields'!$J$5+'Cracker Yields'!$K$5*'Financial Model (84 Months)'!CD15</f>
        <v>5746.7666666666664</v>
      </c>
      <c r="CE21" s="699">
        <f>CE12*'Cracker Yields'!$H$5+'Cracker Yields'!$I$5*'Financial Model (84 Months)'!CE13+'Financial Model (84 Months)'!CE14*'Cracker Yields'!$J$5+'Cracker Yields'!$K$5*'Financial Model (84 Months)'!CE15</f>
        <v>5746.7666666666664</v>
      </c>
      <c r="CF21" s="699">
        <f>CF12*'Cracker Yields'!$H$5+'Cracker Yields'!$I$5*'Financial Model (84 Months)'!CF13+'Financial Model (84 Months)'!CF14*'Cracker Yields'!$J$5+'Cracker Yields'!$K$5*'Financial Model (84 Months)'!CF15</f>
        <v>5746.7666666666664</v>
      </c>
      <c r="CG21" s="699">
        <f>CG12*'Cracker Yields'!$H$5+'Cracker Yields'!$I$5*'Financial Model (84 Months)'!CG13+'Financial Model (84 Months)'!CG14*'Cracker Yields'!$J$5+'Cracker Yields'!$K$5*'Financial Model (84 Months)'!CG15</f>
        <v>5746.7666666666664</v>
      </c>
      <c r="CH21" s="699">
        <f>CH12*'Cracker Yields'!$H$5+'Cracker Yields'!$I$5*'Financial Model (84 Months)'!CH13+'Financial Model (84 Months)'!CH14*'Cracker Yields'!$J$5+'Cracker Yields'!$K$5*'Financial Model (84 Months)'!CH15</f>
        <v>5746.7666666666664</v>
      </c>
      <c r="CI21" s="699">
        <f>CI12*'Cracker Yields'!$H$5+'Cracker Yields'!$I$5*'Financial Model (84 Months)'!CI13+'Financial Model (84 Months)'!CI14*'Cracker Yields'!$J$5+'Cracker Yields'!$K$5*'Financial Model (84 Months)'!CI15</f>
        <v>5746.7666666666664</v>
      </c>
      <c r="CJ21" s="699">
        <f>CJ12*'Cracker Yields'!$H$5+'Cracker Yields'!$I$5*'Financial Model (84 Months)'!CJ13+'Financial Model (84 Months)'!CJ14*'Cracker Yields'!$J$5+'Cracker Yields'!$K$5*'Financial Model (84 Months)'!CJ15</f>
        <v>5746.7666666666664</v>
      </c>
      <c r="CK21" s="699">
        <f>CK12*'Cracker Yields'!$H$5+'Cracker Yields'!$I$5*'Financial Model (84 Months)'!CK13+'Financial Model (84 Months)'!CK14*'Cracker Yields'!$J$5+'Cracker Yields'!$K$5*'Financial Model (84 Months)'!CK15</f>
        <v>5746.7666666666664</v>
      </c>
      <c r="CL21" s="699">
        <f>CL12*'Cracker Yields'!$H$5+'Cracker Yields'!$I$5*'Financial Model (84 Months)'!CL13+'Financial Model (84 Months)'!CL14*'Cracker Yields'!$J$5+'Cracker Yields'!$K$5*'Financial Model (84 Months)'!CL15</f>
        <v>5746.7666666666664</v>
      </c>
      <c r="CM21" s="642">
        <f t="shared" si="0"/>
        <v>5746.7666666666637</v>
      </c>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5"/>
      <c r="FM21" s="245"/>
      <c r="FN21" s="245"/>
      <c r="FO21" s="245"/>
      <c r="FP21" s="245"/>
      <c r="FQ21" s="245"/>
      <c r="FR21" s="245"/>
      <c r="FS21" s="245"/>
      <c r="FT21" s="245"/>
      <c r="FU21" s="245"/>
      <c r="FV21" s="245"/>
    </row>
    <row r="22" spans="1:178">
      <c r="A22" s="1043"/>
      <c r="B22" s="647" t="s">
        <v>309</v>
      </c>
      <c r="C22" s="648" t="s">
        <v>310</v>
      </c>
      <c r="D22" s="648"/>
      <c r="E22" s="1046"/>
      <c r="F22" s="700" t="str">
        <f>F11</f>
        <v xml:space="preserve"> C9+   </v>
      </c>
      <c r="G22" s="701">
        <f>G12*'Cracker Yields'!$H$11+'Cracker Yields'!$I$11*'Financial Model (84 Months)'!G13+'Financial Model (84 Months)'!G14*'Cracker Yields'!$J$11+'Cracker Yields'!$K$11*'Financial Model (84 Months)'!G15</f>
        <v>2614.6976399999999</v>
      </c>
      <c r="H22" s="701">
        <f>H12*'Cracker Yields'!$H$11+'Cracker Yields'!$I$11*'Financial Model (84 Months)'!H13+'Financial Model (84 Months)'!H14*'Cracker Yields'!$J$11+'Cracker Yields'!$K$11*'Financial Model (84 Months)'!H15</f>
        <v>2614.6976399999999</v>
      </c>
      <c r="I22" s="701">
        <f>I12*'Cracker Yields'!$H$11+'Cracker Yields'!$I$11*'Financial Model (84 Months)'!I13+'Financial Model (84 Months)'!I14*'Cracker Yields'!$J$11+'Cracker Yields'!$K$11*'Financial Model (84 Months)'!I15</f>
        <v>2614.6976399999999</v>
      </c>
      <c r="J22" s="701">
        <f>J12*'Cracker Yields'!$H$11+'Cracker Yields'!$I$11*'Financial Model (84 Months)'!J13+'Financial Model (84 Months)'!J14*'Cracker Yields'!$J$11+'Cracker Yields'!$K$11*'Financial Model (84 Months)'!J15</f>
        <v>2614.6976399999999</v>
      </c>
      <c r="K22" s="701">
        <f>K12*'Cracker Yields'!$H$11+'Cracker Yields'!$I$11*'Financial Model (84 Months)'!K13+'Financial Model (84 Months)'!K14*'Cracker Yields'!$J$11+'Cracker Yields'!$K$11*'Financial Model (84 Months)'!K15</f>
        <v>2614.6976399999999</v>
      </c>
      <c r="L22" s="701">
        <f>L12*'Cracker Yields'!$H$11+'Cracker Yields'!$I$11*'Financial Model (84 Months)'!L13+'Financial Model (84 Months)'!L14*'Cracker Yields'!$J$11+'Cracker Yields'!$K$11*'Financial Model (84 Months)'!L15</f>
        <v>2614.6976399999999</v>
      </c>
      <c r="M22" s="701">
        <f>M12*'Cracker Yields'!$H$11+'Cracker Yields'!$I$11*'Financial Model (84 Months)'!M13+'Financial Model (84 Months)'!M14*'Cracker Yields'!$J$11+'Cracker Yields'!$K$11*'Financial Model (84 Months)'!M15</f>
        <v>2614.6976399999999</v>
      </c>
      <c r="N22" s="701">
        <f>N12*'Cracker Yields'!$H$11+'Cracker Yields'!$I$11*'Financial Model (84 Months)'!N13+'Financial Model (84 Months)'!N14*'Cracker Yields'!$J$11+'Cracker Yields'!$K$11*'Financial Model (84 Months)'!N15</f>
        <v>2614.6976399999999</v>
      </c>
      <c r="O22" s="701">
        <f>O12*'Cracker Yields'!$H$11+'Cracker Yields'!$I$11*'Financial Model (84 Months)'!O13+'Financial Model (84 Months)'!O14*'Cracker Yields'!$J$11+'Cracker Yields'!$K$11*'Financial Model (84 Months)'!O15</f>
        <v>2614.6976399999999</v>
      </c>
      <c r="P22" s="701">
        <f>P12*'Cracker Yields'!$H$11+'Cracker Yields'!$I$11*'Financial Model (84 Months)'!P13+'Financial Model (84 Months)'!P14*'Cracker Yields'!$J$11+'Cracker Yields'!$K$11*'Financial Model (84 Months)'!P15</f>
        <v>2614.6976399999999</v>
      </c>
      <c r="Q22" s="701">
        <f>Q12*'Cracker Yields'!$H$11+'Cracker Yields'!$I$11*'Financial Model (84 Months)'!Q13+'Financial Model (84 Months)'!Q14*'Cracker Yields'!$J$11+'Cracker Yields'!$K$11*'Financial Model (84 Months)'!Q15</f>
        <v>2614.6976399999999</v>
      </c>
      <c r="R22" s="701">
        <f>R12*'Cracker Yields'!$H$11+'Cracker Yields'!$I$11*'Financial Model (84 Months)'!R13+'Financial Model (84 Months)'!R14*'Cracker Yields'!$J$11+'Cracker Yields'!$K$11*'Financial Model (84 Months)'!R15</f>
        <v>2614.6976399999999</v>
      </c>
      <c r="S22" s="701">
        <f>S12*'Cracker Yields'!$H$11+'Cracker Yields'!$I$11*'Financial Model (84 Months)'!S13+'Financial Model (84 Months)'!S14*'Cracker Yields'!$J$11+'Cracker Yields'!$K$11*'Financial Model (84 Months)'!S15</f>
        <v>2614.6976399999999</v>
      </c>
      <c r="T22" s="701">
        <f>T12*'Cracker Yields'!$H$11+'Cracker Yields'!$I$11*'Financial Model (84 Months)'!T13+'Financial Model (84 Months)'!T14*'Cracker Yields'!$J$11+'Cracker Yields'!$K$11*'Financial Model (84 Months)'!T15</f>
        <v>2614.6976399999999</v>
      </c>
      <c r="U22" s="701">
        <f>U12*'Cracker Yields'!$H$11+'Cracker Yields'!$I$11*'Financial Model (84 Months)'!U13+'Financial Model (84 Months)'!U14*'Cracker Yields'!$J$11+'Cracker Yields'!$K$11*'Financial Model (84 Months)'!U15</f>
        <v>2614.6976399999999</v>
      </c>
      <c r="V22" s="701">
        <f>V12*'Cracker Yields'!$H$11+'Cracker Yields'!$I$11*'Financial Model (84 Months)'!V13+'Financial Model (84 Months)'!V14*'Cracker Yields'!$J$11+'Cracker Yields'!$K$11*'Financial Model (84 Months)'!V15</f>
        <v>2614.6976399999999</v>
      </c>
      <c r="W22" s="701">
        <f>W12*'Cracker Yields'!$H$11+'Cracker Yields'!$I$11*'Financial Model (84 Months)'!W13+'Financial Model (84 Months)'!W14*'Cracker Yields'!$J$11+'Cracker Yields'!$K$11*'Financial Model (84 Months)'!W15</f>
        <v>2614.6976399999999</v>
      </c>
      <c r="X22" s="701">
        <f>X12*'Cracker Yields'!$H$11+'Cracker Yields'!$I$11*'Financial Model (84 Months)'!X13+'Financial Model (84 Months)'!X14*'Cracker Yields'!$J$11+'Cracker Yields'!$K$11*'Financial Model (84 Months)'!X15</f>
        <v>2614.6976399999999</v>
      </c>
      <c r="Y22" s="701">
        <f>Y12*'Cracker Yields'!$H$11+'Cracker Yields'!$I$11*'Financial Model (84 Months)'!Y13+'Financial Model (84 Months)'!Y14*'Cracker Yields'!$J$11+'Cracker Yields'!$K$11*'Financial Model (84 Months)'!Y15</f>
        <v>2614.6976399999999</v>
      </c>
      <c r="Z22" s="701">
        <f>Z12*'Cracker Yields'!$H$11+'Cracker Yields'!$I$11*'Financial Model (84 Months)'!Z13+'Financial Model (84 Months)'!Z14*'Cracker Yields'!$J$11+'Cracker Yields'!$K$11*'Financial Model (84 Months)'!Z15</f>
        <v>2614.6976399999999</v>
      </c>
      <c r="AA22" s="701">
        <f>AA12*'Cracker Yields'!$H$11+'Cracker Yields'!$I$11*'Financial Model (84 Months)'!AA13+'Financial Model (84 Months)'!AA14*'Cracker Yields'!$J$11+'Cracker Yields'!$K$11*'Financial Model (84 Months)'!AA15</f>
        <v>2614.6976399999999</v>
      </c>
      <c r="AB22" s="701">
        <f>AB12*'Cracker Yields'!$H$11+'Cracker Yields'!$I$11*'Financial Model (84 Months)'!AB13+'Financial Model (84 Months)'!AB14*'Cracker Yields'!$J$11+'Cracker Yields'!$K$11*'Financial Model (84 Months)'!AB15</f>
        <v>2614.6976399999999</v>
      </c>
      <c r="AC22" s="701">
        <f>AC12*'Cracker Yields'!$H$11+'Cracker Yields'!$I$11*'Financial Model (84 Months)'!AC13+'Financial Model (84 Months)'!AC14*'Cracker Yields'!$J$11+'Cracker Yields'!$K$11*'Financial Model (84 Months)'!AC15</f>
        <v>2614.6976399999999</v>
      </c>
      <c r="AD22" s="701">
        <f>AD12*'Cracker Yields'!$H$11+'Cracker Yields'!$I$11*'Financial Model (84 Months)'!AD13+'Financial Model (84 Months)'!AD14*'Cracker Yields'!$J$11+'Cracker Yields'!$K$11*'Financial Model (84 Months)'!AD15</f>
        <v>2614.6976399999999</v>
      </c>
      <c r="AE22" s="701">
        <f>AE12*'Cracker Yields'!$H$11+'Cracker Yields'!$I$11*'Financial Model (84 Months)'!AE13+'Financial Model (84 Months)'!AE14*'Cracker Yields'!$J$11+'Cracker Yields'!$K$11*'Financial Model (84 Months)'!AE15</f>
        <v>2614.6976399999999</v>
      </c>
      <c r="AF22" s="701">
        <f>AF12*'Cracker Yields'!$H$11+'Cracker Yields'!$I$11*'Financial Model (84 Months)'!AF13+'Financial Model (84 Months)'!AF14*'Cracker Yields'!$J$11+'Cracker Yields'!$K$11*'Financial Model (84 Months)'!AF15</f>
        <v>2614.6976399999999</v>
      </c>
      <c r="AG22" s="701">
        <f>AG12*'Cracker Yields'!$H$11+'Cracker Yields'!$I$11*'Financial Model (84 Months)'!AG13+'Financial Model (84 Months)'!AG14*'Cracker Yields'!$J$11+'Cracker Yields'!$K$11*'Financial Model (84 Months)'!AG15</f>
        <v>2614.6976399999999</v>
      </c>
      <c r="AH22" s="701">
        <f>AH12*'Cracker Yields'!$H$11+'Cracker Yields'!$I$11*'Financial Model (84 Months)'!AH13+'Financial Model (84 Months)'!AH14*'Cracker Yields'!$J$11+'Cracker Yields'!$K$11*'Financial Model (84 Months)'!AH15</f>
        <v>2614.6976399999999</v>
      </c>
      <c r="AI22" s="701">
        <f>AI12*'Cracker Yields'!$H$11+'Cracker Yields'!$I$11*'Financial Model (84 Months)'!AI13+'Financial Model (84 Months)'!AI14*'Cracker Yields'!$J$11+'Cracker Yields'!$K$11*'Financial Model (84 Months)'!AI15</f>
        <v>2614.6976399999999</v>
      </c>
      <c r="AJ22" s="701">
        <f>AJ12*'Cracker Yields'!$H$11+'Cracker Yields'!$I$11*'Financial Model (84 Months)'!AJ13+'Financial Model (84 Months)'!AJ14*'Cracker Yields'!$J$11+'Cracker Yields'!$K$11*'Financial Model (84 Months)'!AJ15</f>
        <v>2614.6976399999999</v>
      </c>
      <c r="AK22" s="701">
        <f>AK12*'Cracker Yields'!$H$11+'Cracker Yields'!$I$11*'Financial Model (84 Months)'!AK13+'Financial Model (84 Months)'!AK14*'Cracker Yields'!$J$11+'Cracker Yields'!$K$11*'Financial Model (84 Months)'!AK15</f>
        <v>2614.6976399999999</v>
      </c>
      <c r="AL22" s="701">
        <f>AL12*'Cracker Yields'!$H$11+'Cracker Yields'!$I$11*'Financial Model (84 Months)'!AL13+'Financial Model (84 Months)'!AL14*'Cracker Yields'!$J$11+'Cracker Yields'!$K$11*'Financial Model (84 Months)'!AL15</f>
        <v>2614.6976399999999</v>
      </c>
      <c r="AM22" s="701">
        <f>AM12*'Cracker Yields'!$H$11+'Cracker Yields'!$I$11*'Financial Model (84 Months)'!AM13+'Financial Model (84 Months)'!AM14*'Cracker Yields'!$J$11+'Cracker Yields'!$K$11*'Financial Model (84 Months)'!AM15</f>
        <v>2614.6976399999999</v>
      </c>
      <c r="AN22" s="701">
        <f>AN12*'Cracker Yields'!$H$11+'Cracker Yields'!$I$11*'Financial Model (84 Months)'!AN13+'Financial Model (84 Months)'!AN14*'Cracker Yields'!$J$11+'Cracker Yields'!$K$11*'Financial Model (84 Months)'!AN15</f>
        <v>2614.6976399999999</v>
      </c>
      <c r="AO22" s="701">
        <f>AO12*'Cracker Yields'!$H$11+'Cracker Yields'!$I$11*'Financial Model (84 Months)'!AO13+'Financial Model (84 Months)'!AO14*'Cracker Yields'!$J$11+'Cracker Yields'!$K$11*'Financial Model (84 Months)'!AO15</f>
        <v>2614.6976399999999</v>
      </c>
      <c r="AP22" s="701">
        <f>AP12*'Cracker Yields'!$H$11+'Cracker Yields'!$I$11*'Financial Model (84 Months)'!AP13+'Financial Model (84 Months)'!AP14*'Cracker Yields'!$J$11+'Cracker Yields'!$K$11*'Financial Model (84 Months)'!AP15</f>
        <v>2614.6976399999999</v>
      </c>
      <c r="AQ22" s="701">
        <f>AQ12*'Cracker Yields'!$H$11+'Cracker Yields'!$I$11*'Financial Model (84 Months)'!AQ13+'Financial Model (84 Months)'!AQ14*'Cracker Yields'!$J$11+'Cracker Yields'!$K$11*'Financial Model (84 Months)'!AQ15</f>
        <v>2614.6976399999999</v>
      </c>
      <c r="AR22" s="701">
        <f>AR12*'Cracker Yields'!$H$11+'Cracker Yields'!$I$11*'Financial Model (84 Months)'!AR13+'Financial Model (84 Months)'!AR14*'Cracker Yields'!$J$11+'Cracker Yields'!$K$11*'Financial Model (84 Months)'!AR15</f>
        <v>2614.6976399999999</v>
      </c>
      <c r="AS22" s="701">
        <f>AS12*'Cracker Yields'!$H$11+'Cracker Yields'!$I$11*'Financial Model (84 Months)'!AS13+'Financial Model (84 Months)'!AS14*'Cracker Yields'!$J$11+'Cracker Yields'!$K$11*'Financial Model (84 Months)'!AS15</f>
        <v>2614.6976399999999</v>
      </c>
      <c r="AT22" s="701">
        <f>AT12*'Cracker Yields'!$H$11+'Cracker Yields'!$I$11*'Financial Model (84 Months)'!AT13+'Financial Model (84 Months)'!AT14*'Cracker Yields'!$J$11+'Cracker Yields'!$K$11*'Financial Model (84 Months)'!AT15</f>
        <v>2614.6976399999999</v>
      </c>
      <c r="AU22" s="701">
        <f>AU12*'Cracker Yields'!$H$11+'Cracker Yields'!$I$11*'Financial Model (84 Months)'!AU13+'Financial Model (84 Months)'!AU14*'Cracker Yields'!$J$11+'Cracker Yields'!$K$11*'Financial Model (84 Months)'!AU15</f>
        <v>2614.6976399999999</v>
      </c>
      <c r="AV22" s="701">
        <f>AV12*'Cracker Yields'!$H$11+'Cracker Yields'!$I$11*'Financial Model (84 Months)'!AV13+'Financial Model (84 Months)'!AV14*'Cracker Yields'!$J$11+'Cracker Yields'!$K$11*'Financial Model (84 Months)'!AV15</f>
        <v>2614.6976399999999</v>
      </c>
      <c r="AW22" s="701">
        <f>AW12*'Cracker Yields'!$H$11+'Cracker Yields'!$I$11*'Financial Model (84 Months)'!AW13+'Financial Model (84 Months)'!AW14*'Cracker Yields'!$J$11+'Cracker Yields'!$K$11*'Financial Model (84 Months)'!AW15</f>
        <v>2614.6976399999999</v>
      </c>
      <c r="AX22" s="701">
        <f>AX12*'Cracker Yields'!$H$11+'Cracker Yields'!$I$11*'Financial Model (84 Months)'!AX13+'Financial Model (84 Months)'!AX14*'Cracker Yields'!$J$11+'Cracker Yields'!$K$11*'Financial Model (84 Months)'!AX15</f>
        <v>2614.6976399999999</v>
      </c>
      <c r="AY22" s="701">
        <f>AY12*'Cracker Yields'!$H$11+'Cracker Yields'!$I$11*'Financial Model (84 Months)'!AY13+'Financial Model (84 Months)'!AY14*'Cracker Yields'!$J$11+'Cracker Yields'!$K$11*'Financial Model (84 Months)'!AY15</f>
        <v>2614.6976399999999</v>
      </c>
      <c r="AZ22" s="701">
        <f>AZ12*'Cracker Yields'!$H$11+'Cracker Yields'!$I$11*'Financial Model (84 Months)'!AZ13+'Financial Model (84 Months)'!AZ14*'Cracker Yields'!$J$11+'Cracker Yields'!$K$11*'Financial Model (84 Months)'!AZ15</f>
        <v>2614.6976399999999</v>
      </c>
      <c r="BA22" s="701">
        <f>BA12*'Cracker Yields'!$H$11+'Cracker Yields'!$I$11*'Financial Model (84 Months)'!BA13+'Financial Model (84 Months)'!BA14*'Cracker Yields'!$J$11+'Cracker Yields'!$K$11*'Financial Model (84 Months)'!BA15</f>
        <v>2614.6976399999999</v>
      </c>
      <c r="BB22" s="701">
        <f>BB12*'Cracker Yields'!$H$11+'Cracker Yields'!$I$11*'Financial Model (84 Months)'!BB13+'Financial Model (84 Months)'!BB14*'Cracker Yields'!$J$11+'Cracker Yields'!$K$11*'Financial Model (84 Months)'!BB15</f>
        <v>2614.6976399999999</v>
      </c>
      <c r="BC22" s="701">
        <f>BC12*'Cracker Yields'!$H$11+'Cracker Yields'!$I$11*'Financial Model (84 Months)'!BC13+'Financial Model (84 Months)'!BC14*'Cracker Yields'!$J$11+'Cracker Yields'!$K$11*'Financial Model (84 Months)'!BC15</f>
        <v>2614.6976399999999</v>
      </c>
      <c r="BD22" s="701">
        <f>BD12*'Cracker Yields'!$H$11+'Cracker Yields'!$I$11*'Financial Model (84 Months)'!BD13+'Financial Model (84 Months)'!BD14*'Cracker Yields'!$J$11+'Cracker Yields'!$K$11*'Financial Model (84 Months)'!BD15</f>
        <v>2614.6976399999999</v>
      </c>
      <c r="BE22" s="701">
        <f>BE12*'Cracker Yields'!$H$11+'Cracker Yields'!$I$11*'Financial Model (84 Months)'!BE13+'Financial Model (84 Months)'!BE14*'Cracker Yields'!$J$11+'Cracker Yields'!$K$11*'Financial Model (84 Months)'!BE15</f>
        <v>2614.6976399999999</v>
      </c>
      <c r="BF22" s="701">
        <f>BF12*'Cracker Yields'!$H$11+'Cracker Yields'!$I$11*'Financial Model (84 Months)'!BF13+'Financial Model (84 Months)'!BF14*'Cracker Yields'!$J$11+'Cracker Yields'!$K$11*'Financial Model (84 Months)'!BF15</f>
        <v>2614.6976399999999</v>
      </c>
      <c r="BG22" s="701">
        <f>BG12*'Cracker Yields'!$H$11+'Cracker Yields'!$I$11*'Financial Model (84 Months)'!BG13+'Financial Model (84 Months)'!BG14*'Cracker Yields'!$J$11+'Cracker Yields'!$K$11*'Financial Model (84 Months)'!BG15</f>
        <v>2614.6976399999999</v>
      </c>
      <c r="BH22" s="701">
        <f>BH12*'Cracker Yields'!$H$11+'Cracker Yields'!$I$11*'Financial Model (84 Months)'!BH13+'Financial Model (84 Months)'!BH14*'Cracker Yields'!$J$11+'Cracker Yields'!$K$11*'Financial Model (84 Months)'!BH15</f>
        <v>2614.6976399999999</v>
      </c>
      <c r="BI22" s="701">
        <f>BI12*'Cracker Yields'!$H$11+'Cracker Yields'!$I$11*'Financial Model (84 Months)'!BI13+'Financial Model (84 Months)'!BI14*'Cracker Yields'!$J$11+'Cracker Yields'!$K$11*'Financial Model (84 Months)'!BI15</f>
        <v>2614.6976399999999</v>
      </c>
      <c r="BJ22" s="701">
        <f>BJ12*'Cracker Yields'!$H$11+'Cracker Yields'!$I$11*'Financial Model (84 Months)'!BJ13+'Financial Model (84 Months)'!BJ14*'Cracker Yields'!$J$11+'Cracker Yields'!$K$11*'Financial Model (84 Months)'!BJ15</f>
        <v>2614.6976399999999</v>
      </c>
      <c r="BK22" s="701">
        <f>BK12*'Cracker Yields'!$H$11+'Cracker Yields'!$I$11*'Financial Model (84 Months)'!BK13+'Financial Model (84 Months)'!BK14*'Cracker Yields'!$J$11+'Cracker Yields'!$K$11*'Financial Model (84 Months)'!BK15</f>
        <v>2614.6976399999999</v>
      </c>
      <c r="BL22" s="701">
        <f>BL12*'Cracker Yields'!$H$11+'Cracker Yields'!$I$11*'Financial Model (84 Months)'!BL13+'Financial Model (84 Months)'!BL14*'Cracker Yields'!$J$11+'Cracker Yields'!$K$11*'Financial Model (84 Months)'!BL15</f>
        <v>2614.6976399999999</v>
      </c>
      <c r="BM22" s="701">
        <f>BM12*'Cracker Yields'!$H$11+'Cracker Yields'!$I$11*'Financial Model (84 Months)'!BM13+'Financial Model (84 Months)'!BM14*'Cracker Yields'!$J$11+'Cracker Yields'!$K$11*'Financial Model (84 Months)'!BM15</f>
        <v>2614.6976399999999</v>
      </c>
      <c r="BN22" s="701">
        <f>BN12*'Cracker Yields'!$H$11+'Cracker Yields'!$I$11*'Financial Model (84 Months)'!BN13+'Financial Model (84 Months)'!BN14*'Cracker Yields'!$J$11+'Cracker Yields'!$K$11*'Financial Model (84 Months)'!BN15</f>
        <v>2614.6976399999999</v>
      </c>
      <c r="BO22" s="701">
        <f>BO12*'Cracker Yields'!$H$11+'Cracker Yields'!$I$11*'Financial Model (84 Months)'!BO13+'Financial Model (84 Months)'!BO14*'Cracker Yields'!$J$11+'Cracker Yields'!$K$11*'Financial Model (84 Months)'!BO15</f>
        <v>2614.6976399999999</v>
      </c>
      <c r="BP22" s="701">
        <f>BP12*'Cracker Yields'!$H$11+'Cracker Yields'!$I$11*'Financial Model (84 Months)'!BP13+'Financial Model (84 Months)'!BP14*'Cracker Yields'!$J$11+'Cracker Yields'!$K$11*'Financial Model (84 Months)'!BP15</f>
        <v>2614.6976399999999</v>
      </c>
      <c r="BQ22" s="701">
        <f>BQ12*'Cracker Yields'!$H$11+'Cracker Yields'!$I$11*'Financial Model (84 Months)'!BQ13+'Financial Model (84 Months)'!BQ14*'Cracker Yields'!$J$11+'Cracker Yields'!$K$11*'Financial Model (84 Months)'!BQ15</f>
        <v>2614.6976399999999</v>
      </c>
      <c r="BR22" s="701">
        <f>BR12*'Cracker Yields'!$H$11+'Cracker Yields'!$I$11*'Financial Model (84 Months)'!BR13+'Financial Model (84 Months)'!BR14*'Cracker Yields'!$J$11+'Cracker Yields'!$K$11*'Financial Model (84 Months)'!BR15</f>
        <v>2614.6976399999999</v>
      </c>
      <c r="BS22" s="701">
        <f>BS12*'Cracker Yields'!$H$11+'Cracker Yields'!$I$11*'Financial Model (84 Months)'!BS13+'Financial Model (84 Months)'!BS14*'Cracker Yields'!$J$11+'Cracker Yields'!$K$11*'Financial Model (84 Months)'!BS15</f>
        <v>2614.6976399999999</v>
      </c>
      <c r="BT22" s="701">
        <f>BT12*'Cracker Yields'!$H$11+'Cracker Yields'!$I$11*'Financial Model (84 Months)'!BT13+'Financial Model (84 Months)'!BT14*'Cracker Yields'!$J$11+'Cracker Yields'!$K$11*'Financial Model (84 Months)'!BT15</f>
        <v>2614.6976399999999</v>
      </c>
      <c r="BU22" s="701">
        <f>BU12*'Cracker Yields'!$H$11+'Cracker Yields'!$I$11*'Financial Model (84 Months)'!BU13+'Financial Model (84 Months)'!BU14*'Cracker Yields'!$J$11+'Cracker Yields'!$K$11*'Financial Model (84 Months)'!BU15</f>
        <v>2614.6976399999999</v>
      </c>
      <c r="BV22" s="701">
        <f>BV12*'Cracker Yields'!$H$11+'Cracker Yields'!$I$11*'Financial Model (84 Months)'!BV13+'Financial Model (84 Months)'!BV14*'Cracker Yields'!$J$11+'Cracker Yields'!$K$11*'Financial Model (84 Months)'!BV15</f>
        <v>2614.6976399999999</v>
      </c>
      <c r="BW22" s="701">
        <f>BW12*'Cracker Yields'!$H$11+'Cracker Yields'!$I$11*'Financial Model (84 Months)'!BW13+'Financial Model (84 Months)'!BW14*'Cracker Yields'!$J$11+'Cracker Yields'!$K$11*'Financial Model (84 Months)'!BW15</f>
        <v>2614.6976399999999</v>
      </c>
      <c r="BX22" s="701">
        <f>BX12*'Cracker Yields'!$H$11+'Cracker Yields'!$I$11*'Financial Model (84 Months)'!BX13+'Financial Model (84 Months)'!BX14*'Cracker Yields'!$J$11+'Cracker Yields'!$K$11*'Financial Model (84 Months)'!BX15</f>
        <v>2614.6976399999999</v>
      </c>
      <c r="BY22" s="701">
        <f>BY12*'Cracker Yields'!$H$11+'Cracker Yields'!$I$11*'Financial Model (84 Months)'!BY13+'Financial Model (84 Months)'!BY14*'Cracker Yields'!$J$11+'Cracker Yields'!$K$11*'Financial Model (84 Months)'!BY15</f>
        <v>2614.6976399999999</v>
      </c>
      <c r="BZ22" s="701">
        <f>BZ12*'Cracker Yields'!$H$11+'Cracker Yields'!$I$11*'Financial Model (84 Months)'!BZ13+'Financial Model (84 Months)'!BZ14*'Cracker Yields'!$J$11+'Cracker Yields'!$K$11*'Financial Model (84 Months)'!BZ15</f>
        <v>2614.6976399999999</v>
      </c>
      <c r="CA22" s="701">
        <f>CA12*'Cracker Yields'!$H$11+'Cracker Yields'!$I$11*'Financial Model (84 Months)'!CA13+'Financial Model (84 Months)'!CA14*'Cracker Yields'!$J$11+'Cracker Yields'!$K$11*'Financial Model (84 Months)'!CA15</f>
        <v>2614.6976399999999</v>
      </c>
      <c r="CB22" s="701">
        <f>CB12*'Cracker Yields'!$H$11+'Cracker Yields'!$I$11*'Financial Model (84 Months)'!CB13+'Financial Model (84 Months)'!CB14*'Cracker Yields'!$J$11+'Cracker Yields'!$K$11*'Financial Model (84 Months)'!CB15</f>
        <v>2614.6976399999999</v>
      </c>
      <c r="CC22" s="701">
        <f>CC12*'Cracker Yields'!$H$11+'Cracker Yields'!$I$11*'Financial Model (84 Months)'!CC13+'Financial Model (84 Months)'!CC14*'Cracker Yields'!$J$11+'Cracker Yields'!$K$11*'Financial Model (84 Months)'!CC15</f>
        <v>2614.6976399999999</v>
      </c>
      <c r="CD22" s="701">
        <f>CD12*'Cracker Yields'!$H$11+'Cracker Yields'!$I$11*'Financial Model (84 Months)'!CD13+'Financial Model (84 Months)'!CD14*'Cracker Yields'!$J$11+'Cracker Yields'!$K$11*'Financial Model (84 Months)'!CD15</f>
        <v>2614.6976399999999</v>
      </c>
      <c r="CE22" s="701">
        <f>CE12*'Cracker Yields'!$H$11+'Cracker Yields'!$I$11*'Financial Model (84 Months)'!CE13+'Financial Model (84 Months)'!CE14*'Cracker Yields'!$J$11+'Cracker Yields'!$K$11*'Financial Model (84 Months)'!CE15</f>
        <v>2614.6976399999999</v>
      </c>
      <c r="CF22" s="701">
        <f>CF12*'Cracker Yields'!$H$11+'Cracker Yields'!$I$11*'Financial Model (84 Months)'!CF13+'Financial Model (84 Months)'!CF14*'Cracker Yields'!$J$11+'Cracker Yields'!$K$11*'Financial Model (84 Months)'!CF15</f>
        <v>2614.6976399999999</v>
      </c>
      <c r="CG22" s="701">
        <f>CG12*'Cracker Yields'!$H$11+'Cracker Yields'!$I$11*'Financial Model (84 Months)'!CG13+'Financial Model (84 Months)'!CG14*'Cracker Yields'!$J$11+'Cracker Yields'!$K$11*'Financial Model (84 Months)'!CG15</f>
        <v>2614.6976399999999</v>
      </c>
      <c r="CH22" s="701">
        <f>CH12*'Cracker Yields'!$H$11+'Cracker Yields'!$I$11*'Financial Model (84 Months)'!CH13+'Financial Model (84 Months)'!CH14*'Cracker Yields'!$J$11+'Cracker Yields'!$K$11*'Financial Model (84 Months)'!CH15</f>
        <v>2614.6976399999999</v>
      </c>
      <c r="CI22" s="701">
        <f>CI12*'Cracker Yields'!$H$11+'Cracker Yields'!$I$11*'Financial Model (84 Months)'!CI13+'Financial Model (84 Months)'!CI14*'Cracker Yields'!$J$11+'Cracker Yields'!$K$11*'Financial Model (84 Months)'!CI15</f>
        <v>2614.6976399999999</v>
      </c>
      <c r="CJ22" s="701">
        <f>CJ12*'Cracker Yields'!$H$11+'Cracker Yields'!$I$11*'Financial Model (84 Months)'!CJ13+'Financial Model (84 Months)'!CJ14*'Cracker Yields'!$J$11+'Cracker Yields'!$K$11*'Financial Model (84 Months)'!CJ15</f>
        <v>2614.6976399999999</v>
      </c>
      <c r="CK22" s="701">
        <f>CK12*'Cracker Yields'!$H$11+'Cracker Yields'!$I$11*'Financial Model (84 Months)'!CK13+'Financial Model (84 Months)'!CK14*'Cracker Yields'!$J$11+'Cracker Yields'!$K$11*'Financial Model (84 Months)'!CK15</f>
        <v>2614.6976399999999</v>
      </c>
      <c r="CL22" s="701">
        <f>CL12*'Cracker Yields'!$H$11+'Cracker Yields'!$I$11*'Financial Model (84 Months)'!CL13+'Financial Model (84 Months)'!CL14*'Cracker Yields'!$J$11+'Cracker Yields'!$K$11*'Financial Model (84 Months)'!CL15</f>
        <v>2614.6976399999999</v>
      </c>
      <c r="CM22" s="642">
        <f t="shared" si="0"/>
        <v>2614.697639999999</v>
      </c>
      <c r="CN22" s="245"/>
      <c r="CO22" s="245"/>
      <c r="CP22" s="245"/>
      <c r="CQ22" s="245"/>
      <c r="CR22" s="245"/>
      <c r="CS22" s="245"/>
      <c r="CT22" s="245"/>
      <c r="CU22" s="245"/>
      <c r="CV22" s="245"/>
      <c r="CW22" s="245"/>
      <c r="CX22" s="245"/>
      <c r="CY22" s="245"/>
      <c r="CZ22" s="245"/>
      <c r="DA22" s="245"/>
      <c r="DB22" s="245"/>
      <c r="DC22" s="245"/>
      <c r="DD22" s="245"/>
      <c r="DE22" s="245"/>
      <c r="DF22" s="245"/>
      <c r="DG22" s="245"/>
      <c r="DH22" s="245"/>
      <c r="DI22" s="245"/>
      <c r="DJ22" s="245"/>
      <c r="DK22" s="245"/>
      <c r="DL22" s="245"/>
      <c r="DM22" s="245"/>
      <c r="DN22" s="245"/>
      <c r="DO22" s="245"/>
      <c r="DP22" s="245"/>
      <c r="DQ22" s="245"/>
      <c r="DR22" s="245"/>
      <c r="DS22" s="245"/>
      <c r="DT22" s="245"/>
      <c r="DU22" s="245"/>
      <c r="DV22" s="245"/>
      <c r="DW22" s="245"/>
      <c r="DX22" s="245"/>
      <c r="DY22" s="245"/>
      <c r="DZ22" s="245"/>
      <c r="EA22" s="245"/>
      <c r="EB22" s="245"/>
      <c r="EC22" s="245"/>
      <c r="ED22" s="245"/>
      <c r="EE22" s="245"/>
      <c r="EF22" s="245"/>
      <c r="EG22" s="245"/>
      <c r="EH22" s="245"/>
      <c r="EI22" s="245"/>
      <c r="EJ22" s="245"/>
      <c r="EK22" s="245"/>
      <c r="EL22" s="245"/>
      <c r="EM22" s="245"/>
      <c r="EN22" s="245"/>
      <c r="EO22" s="245"/>
      <c r="EP22" s="245"/>
      <c r="EQ22" s="245"/>
      <c r="ER22" s="245"/>
      <c r="ES22" s="245"/>
      <c r="ET22" s="245"/>
      <c r="EU22" s="245"/>
      <c r="EV22" s="245"/>
      <c r="EW22" s="245"/>
      <c r="EX22" s="245"/>
      <c r="EY22" s="245"/>
      <c r="EZ22" s="245"/>
      <c r="FA22" s="245"/>
      <c r="FB22" s="245"/>
      <c r="FC22" s="245"/>
      <c r="FD22" s="245"/>
      <c r="FE22" s="245"/>
      <c r="FF22" s="245"/>
      <c r="FG22" s="245"/>
      <c r="FH22" s="245"/>
      <c r="FI22" s="245"/>
      <c r="FJ22" s="245"/>
      <c r="FK22" s="245"/>
      <c r="FL22" s="245"/>
      <c r="FM22" s="245"/>
      <c r="FN22" s="245"/>
      <c r="FO22" s="245"/>
      <c r="FP22" s="245"/>
      <c r="FQ22" s="245"/>
      <c r="FR22" s="245"/>
      <c r="FS22" s="245"/>
      <c r="FT22" s="245"/>
      <c r="FU22" s="245"/>
      <c r="FV22" s="245"/>
    </row>
    <row r="23" spans="1:178">
      <c r="A23" s="1025" t="s">
        <v>314</v>
      </c>
      <c r="B23" s="632" t="s">
        <v>309</v>
      </c>
      <c r="C23" s="633" t="s">
        <v>310</v>
      </c>
      <c r="D23" s="633">
        <v>27.86</v>
      </c>
      <c r="E23" s="634"/>
      <c r="F23" s="657" t="s">
        <v>169</v>
      </c>
      <c r="G23" s="702">
        <f>$D$23*G16/1000</f>
        <v>3083.7955400000001</v>
      </c>
      <c r="H23" s="703">
        <f>$D$23*H16/1000</f>
        <v>3083.7955400000001</v>
      </c>
      <c r="I23" s="702">
        <f>$D$23*I16/1000</f>
        <v>3083.7955400000001</v>
      </c>
      <c r="J23" s="702">
        <v>3083.7955400000001</v>
      </c>
      <c r="K23" s="702">
        <v>3083.7955400000001</v>
      </c>
      <c r="L23" s="702">
        <v>3083.7955400000001</v>
      </c>
      <c r="M23" s="702">
        <v>3083.7955400000001</v>
      </c>
      <c r="N23" s="702">
        <v>3083.7955400000001</v>
      </c>
      <c r="O23" s="702">
        <v>3083.7955400000001</v>
      </c>
      <c r="P23" s="702">
        <v>3083.7955400000001</v>
      </c>
      <c r="Q23" s="702">
        <v>3083.7955400000001</v>
      </c>
      <c r="R23" s="702">
        <v>3083.7955400000001</v>
      </c>
      <c r="S23" s="702">
        <v>3083.7955400000001</v>
      </c>
      <c r="T23" s="703">
        <f t="shared" ref="T23:AS23" si="1">$D$23*T16/1000</f>
        <v>3083.7955400000001</v>
      </c>
      <c r="U23" s="702">
        <f t="shared" si="1"/>
        <v>3083.7955400000001</v>
      </c>
      <c r="V23" s="703">
        <f t="shared" si="1"/>
        <v>3083.7955400000001</v>
      </c>
      <c r="W23" s="702">
        <f t="shared" si="1"/>
        <v>3083.7955400000001</v>
      </c>
      <c r="X23" s="703">
        <f t="shared" si="1"/>
        <v>3083.7955400000001</v>
      </c>
      <c r="Y23" s="702">
        <f t="shared" si="1"/>
        <v>3083.7955400000001</v>
      </c>
      <c r="Z23" s="703">
        <f t="shared" si="1"/>
        <v>3083.7955400000001</v>
      </c>
      <c r="AA23" s="702">
        <f t="shared" si="1"/>
        <v>3083.7955400000001</v>
      </c>
      <c r="AB23" s="703">
        <f t="shared" si="1"/>
        <v>3083.7955400000001</v>
      </c>
      <c r="AC23" s="702">
        <f t="shared" si="1"/>
        <v>3083.7955400000001</v>
      </c>
      <c r="AD23" s="703">
        <f t="shared" si="1"/>
        <v>3083.7955400000001</v>
      </c>
      <c r="AE23" s="702">
        <f t="shared" si="1"/>
        <v>3083.7955400000001</v>
      </c>
      <c r="AF23" s="703">
        <f t="shared" si="1"/>
        <v>3083.7955400000001</v>
      </c>
      <c r="AG23" s="702">
        <f t="shared" si="1"/>
        <v>3083.7955400000001</v>
      </c>
      <c r="AH23" s="703">
        <f t="shared" si="1"/>
        <v>3083.7955400000001</v>
      </c>
      <c r="AI23" s="702">
        <f t="shared" si="1"/>
        <v>3083.7955400000001</v>
      </c>
      <c r="AJ23" s="703">
        <f t="shared" si="1"/>
        <v>3083.7955400000001</v>
      </c>
      <c r="AK23" s="702">
        <f t="shared" si="1"/>
        <v>3083.7955400000001</v>
      </c>
      <c r="AL23" s="703">
        <f t="shared" si="1"/>
        <v>3083.7955400000001</v>
      </c>
      <c r="AM23" s="702">
        <f t="shared" si="1"/>
        <v>3083.7955400000001</v>
      </c>
      <c r="AN23" s="703">
        <f t="shared" si="1"/>
        <v>3083.7955400000001</v>
      </c>
      <c r="AO23" s="702">
        <f t="shared" si="1"/>
        <v>3083.7955400000001</v>
      </c>
      <c r="AP23" s="703">
        <f t="shared" si="1"/>
        <v>3083.7955400000001</v>
      </c>
      <c r="AQ23" s="702">
        <f t="shared" si="1"/>
        <v>3083.7955400000001</v>
      </c>
      <c r="AR23" s="703">
        <f t="shared" si="1"/>
        <v>3083.7955400000001</v>
      </c>
      <c r="AS23" s="702">
        <f t="shared" si="1"/>
        <v>3083.7955400000001</v>
      </c>
      <c r="AT23" s="703">
        <f>$D$23*AT16/1000</f>
        <v>3083.7955400000001</v>
      </c>
      <c r="AU23" s="702">
        <f t="shared" ref="AU23:CL23" si="2">$D$23*AU16/1000</f>
        <v>3083.7955400000001</v>
      </c>
      <c r="AV23" s="702">
        <f t="shared" si="2"/>
        <v>3083.7955400000001</v>
      </c>
      <c r="AW23" s="702">
        <f t="shared" si="2"/>
        <v>3083.7955400000001</v>
      </c>
      <c r="AX23" s="702">
        <f t="shared" si="2"/>
        <v>3083.7955400000001</v>
      </c>
      <c r="AY23" s="702">
        <f t="shared" si="2"/>
        <v>3083.7955400000001</v>
      </c>
      <c r="AZ23" s="702">
        <f t="shared" si="2"/>
        <v>3083.7955400000001</v>
      </c>
      <c r="BA23" s="702">
        <f t="shared" si="2"/>
        <v>3083.7955400000001</v>
      </c>
      <c r="BB23" s="702">
        <f t="shared" si="2"/>
        <v>3083.7955400000001</v>
      </c>
      <c r="BC23" s="702">
        <f t="shared" si="2"/>
        <v>3083.7955400000001</v>
      </c>
      <c r="BD23" s="702">
        <f t="shared" si="2"/>
        <v>3083.7955400000001</v>
      </c>
      <c r="BE23" s="702">
        <f t="shared" si="2"/>
        <v>3083.7955400000001</v>
      </c>
      <c r="BF23" s="702">
        <f t="shared" si="2"/>
        <v>3083.7955400000001</v>
      </c>
      <c r="BG23" s="702">
        <f t="shared" si="2"/>
        <v>3083.7955400000001</v>
      </c>
      <c r="BH23" s="702">
        <f t="shared" si="2"/>
        <v>3083.7955400000001</v>
      </c>
      <c r="BI23" s="702">
        <f t="shared" si="2"/>
        <v>3083.7955400000001</v>
      </c>
      <c r="BJ23" s="702">
        <f t="shared" si="2"/>
        <v>3083.7955400000001</v>
      </c>
      <c r="BK23" s="702">
        <f t="shared" si="2"/>
        <v>3083.7955400000001</v>
      </c>
      <c r="BL23" s="702">
        <f t="shared" si="2"/>
        <v>3083.7955400000001</v>
      </c>
      <c r="BM23" s="702">
        <f t="shared" si="2"/>
        <v>3083.7955400000001</v>
      </c>
      <c r="BN23" s="702">
        <f t="shared" si="2"/>
        <v>3083.7955400000001</v>
      </c>
      <c r="BO23" s="702">
        <f t="shared" si="2"/>
        <v>3083.7955400000001</v>
      </c>
      <c r="BP23" s="702">
        <f t="shared" si="2"/>
        <v>3083.7955400000001</v>
      </c>
      <c r="BQ23" s="702">
        <f t="shared" si="2"/>
        <v>3083.7955400000001</v>
      </c>
      <c r="BR23" s="702">
        <f t="shared" si="2"/>
        <v>3083.7955400000001</v>
      </c>
      <c r="BS23" s="702">
        <f t="shared" si="2"/>
        <v>3083.7955400000001</v>
      </c>
      <c r="BT23" s="702">
        <f t="shared" si="2"/>
        <v>3083.7955400000001</v>
      </c>
      <c r="BU23" s="702">
        <f t="shared" si="2"/>
        <v>3083.7955400000001</v>
      </c>
      <c r="BV23" s="702">
        <f t="shared" si="2"/>
        <v>3083.7955400000001</v>
      </c>
      <c r="BW23" s="702">
        <f t="shared" si="2"/>
        <v>3083.7955400000001</v>
      </c>
      <c r="BX23" s="702">
        <f t="shared" si="2"/>
        <v>3083.7955400000001</v>
      </c>
      <c r="BY23" s="702">
        <f t="shared" si="2"/>
        <v>3083.7955400000001</v>
      </c>
      <c r="BZ23" s="702">
        <f t="shared" si="2"/>
        <v>3083.7955400000001</v>
      </c>
      <c r="CA23" s="702">
        <f t="shared" si="2"/>
        <v>3083.7955400000001</v>
      </c>
      <c r="CB23" s="702">
        <f t="shared" si="2"/>
        <v>3083.7955400000001</v>
      </c>
      <c r="CC23" s="702">
        <f t="shared" si="2"/>
        <v>3083.7955400000001</v>
      </c>
      <c r="CD23" s="702">
        <f t="shared" si="2"/>
        <v>3083.7955400000001</v>
      </c>
      <c r="CE23" s="702">
        <f t="shared" si="2"/>
        <v>3083.7955400000001</v>
      </c>
      <c r="CF23" s="702">
        <f t="shared" si="2"/>
        <v>3083.7955400000001</v>
      </c>
      <c r="CG23" s="702">
        <f t="shared" si="2"/>
        <v>3083.7955400000001</v>
      </c>
      <c r="CH23" s="702">
        <f t="shared" si="2"/>
        <v>3083.7955400000001</v>
      </c>
      <c r="CI23" s="702">
        <f t="shared" si="2"/>
        <v>3083.7955400000001</v>
      </c>
      <c r="CJ23" s="702">
        <f t="shared" si="2"/>
        <v>3083.7955400000001</v>
      </c>
      <c r="CK23" s="702">
        <f t="shared" si="2"/>
        <v>3083.7955400000001</v>
      </c>
      <c r="CL23" s="704">
        <f t="shared" si="2"/>
        <v>3083.7955400000001</v>
      </c>
      <c r="CM23" s="636">
        <f t="shared" si="0"/>
        <v>3083.7955399999973</v>
      </c>
      <c r="CN23" s="245"/>
      <c r="CO23" s="245"/>
      <c r="CP23" s="245"/>
      <c r="CQ23" s="245"/>
      <c r="CR23" s="245"/>
      <c r="CS23" s="245"/>
      <c r="CT23" s="245"/>
      <c r="CU23" s="245"/>
      <c r="CV23" s="245"/>
      <c r="CW23" s="245"/>
      <c r="CX23" s="245"/>
      <c r="CY23" s="245"/>
      <c r="CZ23" s="245"/>
      <c r="DA23" s="245"/>
      <c r="DB23" s="245"/>
      <c r="DC23" s="245"/>
      <c r="DD23" s="245"/>
      <c r="DE23" s="245"/>
      <c r="DF23" s="245"/>
      <c r="DG23" s="245"/>
      <c r="DH23" s="245"/>
      <c r="DI23" s="245"/>
      <c r="DJ23" s="245"/>
      <c r="DK23" s="245"/>
      <c r="DL23" s="245"/>
      <c r="DM23" s="245"/>
      <c r="DN23" s="245"/>
      <c r="DO23" s="245"/>
      <c r="DP23" s="245"/>
      <c r="DQ23" s="245"/>
      <c r="DR23" s="245"/>
      <c r="DS23" s="245"/>
      <c r="DT23" s="245"/>
      <c r="DU23" s="245"/>
      <c r="DV23" s="245"/>
      <c r="DW23" s="245"/>
      <c r="DX23" s="245"/>
      <c r="DY23" s="245"/>
      <c r="DZ23" s="245"/>
      <c r="EA23" s="245"/>
      <c r="EB23" s="245"/>
      <c r="EC23" s="245"/>
      <c r="ED23" s="245"/>
      <c r="EE23" s="245"/>
      <c r="EF23" s="245"/>
      <c r="EG23" s="245"/>
      <c r="EH23" s="245"/>
      <c r="EI23" s="245"/>
      <c r="EJ23" s="245"/>
      <c r="EK23" s="245"/>
      <c r="EL23" s="245"/>
      <c r="EM23" s="245"/>
      <c r="EN23" s="245"/>
      <c r="EO23" s="245"/>
      <c r="EP23" s="245"/>
      <c r="EQ23" s="245"/>
      <c r="ER23" s="245"/>
      <c r="ES23" s="245"/>
      <c r="ET23" s="245"/>
      <c r="EU23" s="245"/>
      <c r="EV23" s="245"/>
      <c r="EW23" s="245"/>
      <c r="EX23" s="245"/>
      <c r="EY23" s="245"/>
      <c r="EZ23" s="245"/>
      <c r="FA23" s="245"/>
      <c r="FB23" s="245"/>
      <c r="FC23" s="245"/>
      <c r="FD23" s="245"/>
      <c r="FE23" s="245"/>
      <c r="FF23" s="245"/>
      <c r="FG23" s="245"/>
      <c r="FH23" s="245"/>
      <c r="FI23" s="245"/>
      <c r="FJ23" s="245"/>
      <c r="FK23" s="245"/>
      <c r="FL23" s="245"/>
      <c r="FM23" s="245"/>
      <c r="FN23" s="245"/>
      <c r="FO23" s="245"/>
      <c r="FP23" s="245"/>
      <c r="FQ23" s="245"/>
      <c r="FR23" s="245"/>
      <c r="FS23" s="245"/>
      <c r="FT23" s="245"/>
      <c r="FU23" s="245"/>
      <c r="FV23" s="245"/>
    </row>
    <row r="24" spans="1:178">
      <c r="A24" s="1026"/>
      <c r="B24" s="639" t="s">
        <v>309</v>
      </c>
      <c r="C24" s="640" t="s">
        <v>310</v>
      </c>
      <c r="D24" s="640">
        <v>0.23</v>
      </c>
      <c r="E24" s="245"/>
      <c r="F24" s="665" t="s">
        <v>170</v>
      </c>
      <c r="G24" s="705">
        <v>13359.166666666668</v>
      </c>
      <c r="H24" s="705">
        <v>13359.166666666668</v>
      </c>
      <c r="I24" s="705">
        <v>13359.166666666668</v>
      </c>
      <c r="J24" s="705">
        <v>13359.166666666668</v>
      </c>
      <c r="K24" s="705">
        <v>13359.166666666668</v>
      </c>
      <c r="L24" s="705">
        <v>13359.166666666668</v>
      </c>
      <c r="M24" s="705">
        <v>13359.166666666668</v>
      </c>
      <c r="N24" s="705">
        <v>13359.166666666668</v>
      </c>
      <c r="O24" s="705">
        <v>13359.166666666668</v>
      </c>
      <c r="P24" s="705">
        <v>13359.166666666668</v>
      </c>
      <c r="Q24" s="705">
        <v>13359.166666666668</v>
      </c>
      <c r="R24" s="705">
        <v>13359.166666666668</v>
      </c>
      <c r="S24" s="705">
        <v>13359.166666666668</v>
      </c>
      <c r="T24" s="706">
        <f t="shared" ref="T24:AS24" si="3">$D$24*T13</f>
        <v>13359.166666666668</v>
      </c>
      <c r="U24" s="705">
        <f t="shared" si="3"/>
        <v>13359.166666666668</v>
      </c>
      <c r="V24" s="706">
        <f t="shared" si="3"/>
        <v>13359.166666666668</v>
      </c>
      <c r="W24" s="705">
        <f t="shared" si="3"/>
        <v>13359.166666666668</v>
      </c>
      <c r="X24" s="706">
        <f t="shared" si="3"/>
        <v>13359.166666666668</v>
      </c>
      <c r="Y24" s="705">
        <f t="shared" si="3"/>
        <v>13359.166666666668</v>
      </c>
      <c r="Z24" s="706">
        <f t="shared" si="3"/>
        <v>13359.166666666668</v>
      </c>
      <c r="AA24" s="705">
        <f t="shared" si="3"/>
        <v>13359.166666666668</v>
      </c>
      <c r="AB24" s="706">
        <f t="shared" si="3"/>
        <v>13359.166666666668</v>
      </c>
      <c r="AC24" s="705">
        <f t="shared" si="3"/>
        <v>13359.166666666668</v>
      </c>
      <c r="AD24" s="706">
        <f t="shared" si="3"/>
        <v>13359.166666666668</v>
      </c>
      <c r="AE24" s="705">
        <f t="shared" si="3"/>
        <v>13359.166666666668</v>
      </c>
      <c r="AF24" s="706">
        <f t="shared" si="3"/>
        <v>13359.166666666668</v>
      </c>
      <c r="AG24" s="705">
        <f t="shared" si="3"/>
        <v>13359.166666666668</v>
      </c>
      <c r="AH24" s="706">
        <f t="shared" si="3"/>
        <v>13359.166666666668</v>
      </c>
      <c r="AI24" s="705">
        <f t="shared" si="3"/>
        <v>13359.166666666668</v>
      </c>
      <c r="AJ24" s="706">
        <f t="shared" si="3"/>
        <v>13359.166666666668</v>
      </c>
      <c r="AK24" s="705">
        <f t="shared" si="3"/>
        <v>13359.166666666668</v>
      </c>
      <c r="AL24" s="706">
        <f t="shared" si="3"/>
        <v>13359.166666666668</v>
      </c>
      <c r="AM24" s="705">
        <f t="shared" si="3"/>
        <v>13359.166666666668</v>
      </c>
      <c r="AN24" s="706">
        <f t="shared" si="3"/>
        <v>13359.166666666668</v>
      </c>
      <c r="AO24" s="705">
        <f t="shared" si="3"/>
        <v>13359.166666666668</v>
      </c>
      <c r="AP24" s="706">
        <f t="shared" si="3"/>
        <v>13359.166666666668</v>
      </c>
      <c r="AQ24" s="705">
        <f t="shared" si="3"/>
        <v>13359.166666666668</v>
      </c>
      <c r="AR24" s="706">
        <f t="shared" si="3"/>
        <v>13359.166666666668</v>
      </c>
      <c r="AS24" s="705">
        <f t="shared" si="3"/>
        <v>13359.166666666668</v>
      </c>
      <c r="AT24" s="706">
        <f>$D$24*AT13</f>
        <v>13359.166666666668</v>
      </c>
      <c r="AU24" s="705">
        <f t="shared" ref="AU24:CL24" si="4">$D$24*AU13</f>
        <v>13359.166666666668</v>
      </c>
      <c r="AV24" s="705">
        <f t="shared" si="4"/>
        <v>13359.166666666668</v>
      </c>
      <c r="AW24" s="705">
        <f t="shared" si="4"/>
        <v>13359.166666666668</v>
      </c>
      <c r="AX24" s="705">
        <f t="shared" si="4"/>
        <v>13359.166666666668</v>
      </c>
      <c r="AY24" s="705">
        <f t="shared" si="4"/>
        <v>13359.166666666668</v>
      </c>
      <c r="AZ24" s="705">
        <f t="shared" si="4"/>
        <v>13359.166666666668</v>
      </c>
      <c r="BA24" s="705">
        <f t="shared" si="4"/>
        <v>13359.166666666668</v>
      </c>
      <c r="BB24" s="705">
        <f t="shared" si="4"/>
        <v>13359.166666666668</v>
      </c>
      <c r="BC24" s="705">
        <f t="shared" si="4"/>
        <v>13359.166666666668</v>
      </c>
      <c r="BD24" s="705">
        <f t="shared" si="4"/>
        <v>13359.166666666668</v>
      </c>
      <c r="BE24" s="705">
        <f t="shared" si="4"/>
        <v>13359.166666666668</v>
      </c>
      <c r="BF24" s="705">
        <f t="shared" si="4"/>
        <v>13359.166666666668</v>
      </c>
      <c r="BG24" s="705">
        <f t="shared" si="4"/>
        <v>13359.166666666668</v>
      </c>
      <c r="BH24" s="705">
        <f t="shared" si="4"/>
        <v>13359.166666666668</v>
      </c>
      <c r="BI24" s="705">
        <f t="shared" si="4"/>
        <v>13359.166666666668</v>
      </c>
      <c r="BJ24" s="705">
        <f t="shared" si="4"/>
        <v>13359.166666666668</v>
      </c>
      <c r="BK24" s="705">
        <f t="shared" si="4"/>
        <v>13359.166666666668</v>
      </c>
      <c r="BL24" s="705">
        <f t="shared" si="4"/>
        <v>13359.166666666668</v>
      </c>
      <c r="BM24" s="705">
        <f t="shared" si="4"/>
        <v>13359.166666666668</v>
      </c>
      <c r="BN24" s="705">
        <f t="shared" si="4"/>
        <v>13359.166666666668</v>
      </c>
      <c r="BO24" s="705">
        <f t="shared" si="4"/>
        <v>13359.166666666668</v>
      </c>
      <c r="BP24" s="705">
        <f t="shared" si="4"/>
        <v>13359.166666666668</v>
      </c>
      <c r="BQ24" s="705">
        <f t="shared" si="4"/>
        <v>13359.166666666668</v>
      </c>
      <c r="BR24" s="705">
        <f t="shared" si="4"/>
        <v>13359.166666666668</v>
      </c>
      <c r="BS24" s="705">
        <f t="shared" si="4"/>
        <v>13359.166666666668</v>
      </c>
      <c r="BT24" s="705">
        <f t="shared" si="4"/>
        <v>13359.166666666668</v>
      </c>
      <c r="BU24" s="705">
        <f t="shared" si="4"/>
        <v>13359.166666666668</v>
      </c>
      <c r="BV24" s="705">
        <f t="shared" si="4"/>
        <v>13359.166666666668</v>
      </c>
      <c r="BW24" s="705">
        <f t="shared" si="4"/>
        <v>13359.166666666668</v>
      </c>
      <c r="BX24" s="705">
        <f t="shared" si="4"/>
        <v>13359.166666666668</v>
      </c>
      <c r="BY24" s="705">
        <f t="shared" si="4"/>
        <v>13359.166666666668</v>
      </c>
      <c r="BZ24" s="705">
        <f t="shared" si="4"/>
        <v>13359.166666666668</v>
      </c>
      <c r="CA24" s="705">
        <f t="shared" si="4"/>
        <v>13359.166666666668</v>
      </c>
      <c r="CB24" s="705">
        <f t="shared" si="4"/>
        <v>13359.166666666668</v>
      </c>
      <c r="CC24" s="705">
        <f t="shared" si="4"/>
        <v>13359.166666666668</v>
      </c>
      <c r="CD24" s="705">
        <f t="shared" si="4"/>
        <v>13359.166666666668</v>
      </c>
      <c r="CE24" s="705">
        <f t="shared" si="4"/>
        <v>13359.166666666668</v>
      </c>
      <c r="CF24" s="705">
        <f t="shared" si="4"/>
        <v>13359.166666666668</v>
      </c>
      <c r="CG24" s="705">
        <f t="shared" si="4"/>
        <v>13359.166666666668</v>
      </c>
      <c r="CH24" s="705">
        <f t="shared" si="4"/>
        <v>13359.166666666668</v>
      </c>
      <c r="CI24" s="705">
        <f t="shared" si="4"/>
        <v>13359.166666666668</v>
      </c>
      <c r="CJ24" s="705">
        <f t="shared" si="4"/>
        <v>13359.166666666668</v>
      </c>
      <c r="CK24" s="705">
        <f t="shared" si="4"/>
        <v>13359.166666666668</v>
      </c>
      <c r="CL24" s="707">
        <f t="shared" si="4"/>
        <v>13359.166666666668</v>
      </c>
      <c r="CM24" s="642">
        <f t="shared" si="0"/>
        <v>13359.166666666659</v>
      </c>
      <c r="CN24" s="245"/>
      <c r="CO24" s="245"/>
      <c r="CP24" s="245"/>
      <c r="CQ24" s="245"/>
      <c r="CR24" s="245"/>
      <c r="CS24" s="245"/>
      <c r="CT24" s="245"/>
      <c r="CU24" s="245"/>
      <c r="CV24" s="245"/>
      <c r="CW24" s="245"/>
      <c r="CX24" s="245"/>
      <c r="CY24" s="245"/>
      <c r="CZ24" s="245"/>
      <c r="DA24" s="245"/>
      <c r="DB24" s="245"/>
      <c r="DC24" s="245"/>
      <c r="DD24" s="245"/>
      <c r="DE24" s="245"/>
      <c r="DF24" s="245"/>
      <c r="DG24" s="245"/>
      <c r="DH24" s="245"/>
      <c r="DI24" s="245"/>
      <c r="DJ24" s="245"/>
      <c r="DK24" s="245"/>
      <c r="DL24" s="245"/>
      <c r="DM24" s="245"/>
      <c r="DN24" s="245"/>
      <c r="DO24" s="245"/>
      <c r="DP24" s="245"/>
      <c r="DQ24" s="245"/>
      <c r="DR24" s="245"/>
      <c r="DS24" s="245"/>
      <c r="DT24" s="245"/>
      <c r="DU24" s="245"/>
      <c r="DV24" s="245"/>
      <c r="DW24" s="245"/>
      <c r="DX24" s="245"/>
      <c r="DY24" s="245"/>
      <c r="DZ24" s="245"/>
      <c r="EA24" s="245"/>
      <c r="EB24" s="245"/>
      <c r="EC24" s="245"/>
      <c r="ED24" s="245"/>
      <c r="EE24" s="245"/>
      <c r="EF24" s="245"/>
      <c r="EG24" s="245"/>
      <c r="EH24" s="245"/>
      <c r="EI24" s="245"/>
      <c r="EJ24" s="245"/>
      <c r="EK24" s="245"/>
      <c r="EL24" s="245"/>
      <c r="EM24" s="245"/>
      <c r="EN24" s="245"/>
      <c r="EO24" s="245"/>
      <c r="EP24" s="245"/>
      <c r="EQ24" s="245"/>
      <c r="ER24" s="245"/>
      <c r="ES24" s="245"/>
      <c r="ET24" s="245"/>
      <c r="EU24" s="245"/>
      <c r="EV24" s="245"/>
      <c r="EW24" s="245"/>
      <c r="EX24" s="245"/>
      <c r="EY24" s="245"/>
      <c r="EZ24" s="245"/>
      <c r="FA24" s="245"/>
      <c r="FB24" s="245"/>
      <c r="FC24" s="245"/>
      <c r="FD24" s="245"/>
      <c r="FE24" s="245"/>
      <c r="FF24" s="245"/>
      <c r="FG24" s="245"/>
      <c r="FH24" s="245"/>
      <c r="FI24" s="245"/>
      <c r="FJ24" s="245"/>
      <c r="FK24" s="245"/>
      <c r="FL24" s="245"/>
      <c r="FM24" s="245"/>
      <c r="FN24" s="245"/>
      <c r="FO24" s="245"/>
      <c r="FP24" s="245"/>
      <c r="FQ24" s="245"/>
      <c r="FR24" s="245"/>
      <c r="FS24" s="245"/>
      <c r="FT24" s="245"/>
      <c r="FU24" s="245"/>
      <c r="FV24" s="245"/>
    </row>
    <row r="25" spans="1:178">
      <c r="A25" s="1026"/>
      <c r="B25" s="639" t="s">
        <v>309</v>
      </c>
      <c r="C25" s="640" t="s">
        <v>310</v>
      </c>
      <c r="D25" s="640">
        <v>0.26500000000000001</v>
      </c>
      <c r="E25" s="245"/>
      <c r="F25" s="665" t="s">
        <v>171</v>
      </c>
      <c r="G25" s="705">
        <v>3003.3333333333335</v>
      </c>
      <c r="H25" s="705">
        <v>3003.3333333333335</v>
      </c>
      <c r="I25" s="705">
        <v>3003.3333333333335</v>
      </c>
      <c r="J25" s="705">
        <v>3003.3333333333335</v>
      </c>
      <c r="K25" s="705">
        <v>3003.3333333333335</v>
      </c>
      <c r="L25" s="705">
        <v>3003.3333333333335</v>
      </c>
      <c r="M25" s="705">
        <v>3003.3333333333335</v>
      </c>
      <c r="N25" s="705">
        <v>3003.3333333333335</v>
      </c>
      <c r="O25" s="705">
        <v>3003.3333333333335</v>
      </c>
      <c r="P25" s="705">
        <v>3003.3333333333335</v>
      </c>
      <c r="Q25" s="705">
        <v>3003.3333333333335</v>
      </c>
      <c r="R25" s="705">
        <v>3003.3333333333335</v>
      </c>
      <c r="S25" s="705">
        <v>3003.3333333333335</v>
      </c>
      <c r="T25" s="706">
        <f t="shared" ref="T25:AS25" si="5">$D$25*T14</f>
        <v>3003.3333333333335</v>
      </c>
      <c r="U25" s="705">
        <f t="shared" si="5"/>
        <v>3003.3333333333335</v>
      </c>
      <c r="V25" s="706">
        <f t="shared" si="5"/>
        <v>3003.3333333333335</v>
      </c>
      <c r="W25" s="705">
        <f t="shared" si="5"/>
        <v>3003.3333333333335</v>
      </c>
      <c r="X25" s="706">
        <f t="shared" si="5"/>
        <v>3003.3333333333335</v>
      </c>
      <c r="Y25" s="705">
        <f t="shared" si="5"/>
        <v>3003.3333333333335</v>
      </c>
      <c r="Z25" s="706">
        <f t="shared" si="5"/>
        <v>3003.3333333333335</v>
      </c>
      <c r="AA25" s="705">
        <f t="shared" si="5"/>
        <v>3003.3333333333335</v>
      </c>
      <c r="AB25" s="706">
        <f t="shared" si="5"/>
        <v>3003.3333333333335</v>
      </c>
      <c r="AC25" s="705">
        <f t="shared" si="5"/>
        <v>3003.3333333333335</v>
      </c>
      <c r="AD25" s="706">
        <f t="shared" si="5"/>
        <v>3003.3333333333335</v>
      </c>
      <c r="AE25" s="705">
        <f t="shared" si="5"/>
        <v>3003.3333333333335</v>
      </c>
      <c r="AF25" s="706">
        <f t="shared" si="5"/>
        <v>3003.3333333333335</v>
      </c>
      <c r="AG25" s="705">
        <f t="shared" si="5"/>
        <v>3003.3333333333335</v>
      </c>
      <c r="AH25" s="706">
        <f t="shared" si="5"/>
        <v>3003.3333333333335</v>
      </c>
      <c r="AI25" s="705">
        <f t="shared" si="5"/>
        <v>3003.3333333333335</v>
      </c>
      <c r="AJ25" s="706">
        <f t="shared" si="5"/>
        <v>3003.3333333333335</v>
      </c>
      <c r="AK25" s="705">
        <f t="shared" si="5"/>
        <v>3003.3333333333335</v>
      </c>
      <c r="AL25" s="706">
        <f t="shared" si="5"/>
        <v>3003.3333333333335</v>
      </c>
      <c r="AM25" s="705">
        <f t="shared" si="5"/>
        <v>3003.3333333333335</v>
      </c>
      <c r="AN25" s="706">
        <f t="shared" si="5"/>
        <v>3003.3333333333335</v>
      </c>
      <c r="AO25" s="705">
        <f t="shared" si="5"/>
        <v>3003.3333333333335</v>
      </c>
      <c r="AP25" s="706">
        <f t="shared" si="5"/>
        <v>3003.3333333333335</v>
      </c>
      <c r="AQ25" s="705">
        <f t="shared" si="5"/>
        <v>3003.3333333333335</v>
      </c>
      <c r="AR25" s="706">
        <f t="shared" si="5"/>
        <v>3003.3333333333335</v>
      </c>
      <c r="AS25" s="705">
        <f t="shared" si="5"/>
        <v>3003.3333333333335</v>
      </c>
      <c r="AT25" s="706">
        <f>$D$25*AT14</f>
        <v>3003.3333333333335</v>
      </c>
      <c r="AU25" s="705">
        <f t="shared" ref="AU25:CL25" si="6">$D$25*AU14</f>
        <v>3003.3333333333335</v>
      </c>
      <c r="AV25" s="705">
        <f t="shared" si="6"/>
        <v>3003.3333333333335</v>
      </c>
      <c r="AW25" s="705">
        <f t="shared" si="6"/>
        <v>3003.3333333333335</v>
      </c>
      <c r="AX25" s="705">
        <f t="shared" si="6"/>
        <v>3003.3333333333335</v>
      </c>
      <c r="AY25" s="705">
        <f t="shared" si="6"/>
        <v>3003.3333333333335</v>
      </c>
      <c r="AZ25" s="705">
        <f t="shared" si="6"/>
        <v>3003.3333333333335</v>
      </c>
      <c r="BA25" s="705">
        <f t="shared" si="6"/>
        <v>3003.3333333333335</v>
      </c>
      <c r="BB25" s="705">
        <f t="shared" si="6"/>
        <v>3003.3333333333335</v>
      </c>
      <c r="BC25" s="705">
        <f t="shared" si="6"/>
        <v>3003.3333333333335</v>
      </c>
      <c r="BD25" s="705">
        <f t="shared" si="6"/>
        <v>3003.3333333333335</v>
      </c>
      <c r="BE25" s="705">
        <f t="shared" si="6"/>
        <v>3003.3333333333335</v>
      </c>
      <c r="BF25" s="705">
        <f t="shared" si="6"/>
        <v>3003.3333333333335</v>
      </c>
      <c r="BG25" s="705">
        <f t="shared" si="6"/>
        <v>3003.3333333333335</v>
      </c>
      <c r="BH25" s="705">
        <f t="shared" si="6"/>
        <v>3003.3333333333335</v>
      </c>
      <c r="BI25" s="705">
        <f t="shared" si="6"/>
        <v>3003.3333333333335</v>
      </c>
      <c r="BJ25" s="705">
        <f t="shared" si="6"/>
        <v>3003.3333333333335</v>
      </c>
      <c r="BK25" s="705">
        <f t="shared" si="6"/>
        <v>3003.3333333333335</v>
      </c>
      <c r="BL25" s="705">
        <f t="shared" si="6"/>
        <v>3003.3333333333335</v>
      </c>
      <c r="BM25" s="705">
        <f t="shared" si="6"/>
        <v>3003.3333333333335</v>
      </c>
      <c r="BN25" s="705">
        <f t="shared" si="6"/>
        <v>3003.3333333333335</v>
      </c>
      <c r="BO25" s="705">
        <f t="shared" si="6"/>
        <v>3003.3333333333335</v>
      </c>
      <c r="BP25" s="705">
        <f t="shared" si="6"/>
        <v>3003.3333333333335</v>
      </c>
      <c r="BQ25" s="705">
        <f t="shared" si="6"/>
        <v>3003.3333333333335</v>
      </c>
      <c r="BR25" s="705">
        <f t="shared" si="6"/>
        <v>3003.3333333333335</v>
      </c>
      <c r="BS25" s="705">
        <f t="shared" si="6"/>
        <v>3003.3333333333335</v>
      </c>
      <c r="BT25" s="705">
        <f t="shared" si="6"/>
        <v>3003.3333333333335</v>
      </c>
      <c r="BU25" s="705">
        <f t="shared" si="6"/>
        <v>3003.3333333333335</v>
      </c>
      <c r="BV25" s="705">
        <f t="shared" si="6"/>
        <v>3003.3333333333335</v>
      </c>
      <c r="BW25" s="705">
        <f t="shared" si="6"/>
        <v>3003.3333333333335</v>
      </c>
      <c r="BX25" s="705">
        <f t="shared" si="6"/>
        <v>3003.3333333333335</v>
      </c>
      <c r="BY25" s="705">
        <f t="shared" si="6"/>
        <v>3003.3333333333335</v>
      </c>
      <c r="BZ25" s="705">
        <f t="shared" si="6"/>
        <v>3003.3333333333335</v>
      </c>
      <c r="CA25" s="705">
        <f t="shared" si="6"/>
        <v>3003.3333333333335</v>
      </c>
      <c r="CB25" s="705">
        <f t="shared" si="6"/>
        <v>3003.3333333333335</v>
      </c>
      <c r="CC25" s="705">
        <f t="shared" si="6"/>
        <v>3003.3333333333335</v>
      </c>
      <c r="CD25" s="705">
        <f t="shared" si="6"/>
        <v>3003.3333333333335</v>
      </c>
      <c r="CE25" s="705">
        <f t="shared" si="6"/>
        <v>3003.3333333333335</v>
      </c>
      <c r="CF25" s="705">
        <f t="shared" si="6"/>
        <v>3003.3333333333335</v>
      </c>
      <c r="CG25" s="705">
        <f t="shared" si="6"/>
        <v>3003.3333333333335</v>
      </c>
      <c r="CH25" s="705">
        <f t="shared" si="6"/>
        <v>3003.3333333333335</v>
      </c>
      <c r="CI25" s="705">
        <f t="shared" si="6"/>
        <v>3003.3333333333335</v>
      </c>
      <c r="CJ25" s="705">
        <f t="shared" si="6"/>
        <v>3003.3333333333335</v>
      </c>
      <c r="CK25" s="705">
        <f t="shared" si="6"/>
        <v>3003.3333333333335</v>
      </c>
      <c r="CL25" s="707">
        <f t="shared" si="6"/>
        <v>3003.3333333333335</v>
      </c>
      <c r="CM25" s="642">
        <f t="shared" si="0"/>
        <v>3003.3333333333371</v>
      </c>
      <c r="CN25" s="245"/>
      <c r="CO25" s="245"/>
      <c r="CP25" s="245"/>
      <c r="CQ25" s="245"/>
      <c r="CR25" s="245"/>
      <c r="CS25" s="245"/>
      <c r="CT25" s="245"/>
      <c r="CU25" s="245"/>
      <c r="CV25" s="245"/>
      <c r="CW25" s="245"/>
      <c r="CX25" s="245"/>
      <c r="CY25" s="245"/>
      <c r="CZ25" s="245"/>
      <c r="DA25" s="245"/>
      <c r="DB25" s="245"/>
      <c r="DC25" s="245"/>
      <c r="DD25" s="245"/>
      <c r="DE25" s="245"/>
      <c r="DF25" s="245"/>
      <c r="DG25" s="245"/>
      <c r="DH25" s="245"/>
      <c r="DI25" s="245"/>
      <c r="DJ25" s="245"/>
      <c r="DK25" s="245"/>
      <c r="DL25" s="245"/>
      <c r="DM25" s="245"/>
      <c r="DN25" s="245"/>
      <c r="DO25" s="245"/>
      <c r="DP25" s="245"/>
      <c r="DQ25" s="245"/>
      <c r="DR25" s="245"/>
      <c r="DS25" s="245"/>
      <c r="DT25" s="245"/>
      <c r="DU25" s="245"/>
      <c r="DV25" s="245"/>
      <c r="DW25" s="245"/>
      <c r="DX25" s="245"/>
      <c r="DY25" s="245"/>
      <c r="DZ25" s="245"/>
      <c r="EA25" s="245"/>
      <c r="EB25" s="245"/>
      <c r="EC25" s="245"/>
      <c r="ED25" s="245"/>
      <c r="EE25" s="245"/>
      <c r="EF25" s="245"/>
      <c r="EG25" s="245"/>
      <c r="EH25" s="245"/>
      <c r="EI25" s="245"/>
      <c r="EJ25" s="245"/>
      <c r="EK25" s="245"/>
      <c r="EL25" s="245"/>
      <c r="EM25" s="245"/>
      <c r="EN25" s="245"/>
      <c r="EO25" s="245"/>
      <c r="EP25" s="245"/>
      <c r="EQ25" s="245"/>
      <c r="ER25" s="245"/>
      <c r="ES25" s="245"/>
      <c r="ET25" s="245"/>
      <c r="EU25" s="245"/>
      <c r="EV25" s="245"/>
      <c r="EW25" s="245"/>
      <c r="EX25" s="245"/>
      <c r="EY25" s="245"/>
      <c r="EZ25" s="245"/>
      <c r="FA25" s="245"/>
      <c r="FB25" s="245"/>
      <c r="FC25" s="245"/>
      <c r="FD25" s="245"/>
      <c r="FE25" s="245"/>
      <c r="FF25" s="245"/>
      <c r="FG25" s="245"/>
      <c r="FH25" s="245"/>
      <c r="FI25" s="245"/>
      <c r="FJ25" s="245"/>
      <c r="FK25" s="245"/>
      <c r="FL25" s="245"/>
      <c r="FM25" s="245"/>
      <c r="FN25" s="245"/>
      <c r="FO25" s="245"/>
      <c r="FP25" s="245"/>
      <c r="FQ25" s="245"/>
      <c r="FR25" s="245"/>
      <c r="FS25" s="245"/>
      <c r="FT25" s="245"/>
      <c r="FU25" s="245"/>
      <c r="FV25" s="245"/>
    </row>
    <row r="26" spans="1:178">
      <c r="A26" s="1026"/>
      <c r="B26" s="639" t="s">
        <v>309</v>
      </c>
      <c r="C26" s="640" t="s">
        <v>310</v>
      </c>
      <c r="D26" s="640">
        <v>0.18049999999999999</v>
      </c>
      <c r="E26" s="245"/>
      <c r="F26" s="665" t="s">
        <v>172</v>
      </c>
      <c r="G26" s="705">
        <v>24232.125</v>
      </c>
      <c r="H26" s="705">
        <v>24232.125</v>
      </c>
      <c r="I26" s="705">
        <v>24232.125</v>
      </c>
      <c r="J26" s="705">
        <v>24232.125</v>
      </c>
      <c r="K26" s="705">
        <v>24232.125</v>
      </c>
      <c r="L26" s="705">
        <v>24232.125</v>
      </c>
      <c r="M26" s="705">
        <v>24232.125</v>
      </c>
      <c r="N26" s="705">
        <v>24232.125</v>
      </c>
      <c r="O26" s="705">
        <v>24232.125</v>
      </c>
      <c r="P26" s="705">
        <v>24232.125</v>
      </c>
      <c r="Q26" s="705">
        <v>24232.125</v>
      </c>
      <c r="R26" s="705">
        <v>24232.125</v>
      </c>
      <c r="S26" s="705">
        <v>24232.125</v>
      </c>
      <c r="T26" s="706">
        <f t="shared" ref="T26:AS26" si="7">$D$26*T15</f>
        <v>24232.125</v>
      </c>
      <c r="U26" s="705">
        <f t="shared" si="7"/>
        <v>24232.125</v>
      </c>
      <c r="V26" s="706">
        <f t="shared" si="7"/>
        <v>24232.125</v>
      </c>
      <c r="W26" s="705">
        <f t="shared" si="7"/>
        <v>24232.125</v>
      </c>
      <c r="X26" s="706">
        <f t="shared" si="7"/>
        <v>24232.125</v>
      </c>
      <c r="Y26" s="705">
        <f t="shared" si="7"/>
        <v>24232.125</v>
      </c>
      <c r="Z26" s="706">
        <f t="shared" si="7"/>
        <v>24232.125</v>
      </c>
      <c r="AA26" s="705">
        <f t="shared" si="7"/>
        <v>24232.125</v>
      </c>
      <c r="AB26" s="706">
        <f t="shared" si="7"/>
        <v>24232.125</v>
      </c>
      <c r="AC26" s="705">
        <f t="shared" si="7"/>
        <v>24232.125</v>
      </c>
      <c r="AD26" s="706">
        <f t="shared" si="7"/>
        <v>24232.125</v>
      </c>
      <c r="AE26" s="705">
        <f t="shared" si="7"/>
        <v>24232.125</v>
      </c>
      <c r="AF26" s="706">
        <f t="shared" si="7"/>
        <v>24232.125</v>
      </c>
      <c r="AG26" s="705">
        <f t="shared" si="7"/>
        <v>24232.125</v>
      </c>
      <c r="AH26" s="706">
        <f t="shared" si="7"/>
        <v>24232.125</v>
      </c>
      <c r="AI26" s="705">
        <f t="shared" si="7"/>
        <v>24232.125</v>
      </c>
      <c r="AJ26" s="706">
        <f t="shared" si="7"/>
        <v>24232.125</v>
      </c>
      <c r="AK26" s="705">
        <f t="shared" si="7"/>
        <v>24232.125</v>
      </c>
      <c r="AL26" s="706">
        <f t="shared" si="7"/>
        <v>24232.125</v>
      </c>
      <c r="AM26" s="705">
        <f t="shared" si="7"/>
        <v>24232.125</v>
      </c>
      <c r="AN26" s="706">
        <f t="shared" si="7"/>
        <v>24232.125</v>
      </c>
      <c r="AO26" s="705">
        <f t="shared" si="7"/>
        <v>24232.125</v>
      </c>
      <c r="AP26" s="706">
        <f t="shared" si="7"/>
        <v>24232.125</v>
      </c>
      <c r="AQ26" s="705">
        <f t="shared" si="7"/>
        <v>24232.125</v>
      </c>
      <c r="AR26" s="706">
        <f t="shared" si="7"/>
        <v>24232.125</v>
      </c>
      <c r="AS26" s="705">
        <f t="shared" si="7"/>
        <v>24232.125</v>
      </c>
      <c r="AT26" s="706">
        <f>$D$26*AT15</f>
        <v>24232.125</v>
      </c>
      <c r="AU26" s="705">
        <f t="shared" ref="AU26:CL26" si="8">$D$26*AU15</f>
        <v>24232.125</v>
      </c>
      <c r="AV26" s="705">
        <f t="shared" si="8"/>
        <v>24232.125</v>
      </c>
      <c r="AW26" s="705">
        <f t="shared" si="8"/>
        <v>24232.125</v>
      </c>
      <c r="AX26" s="705">
        <f t="shared" si="8"/>
        <v>24232.125</v>
      </c>
      <c r="AY26" s="705">
        <f t="shared" si="8"/>
        <v>24232.125</v>
      </c>
      <c r="AZ26" s="705">
        <f t="shared" si="8"/>
        <v>24232.125</v>
      </c>
      <c r="BA26" s="705">
        <f t="shared" si="8"/>
        <v>24232.125</v>
      </c>
      <c r="BB26" s="705">
        <f t="shared" si="8"/>
        <v>24232.125</v>
      </c>
      <c r="BC26" s="705">
        <f t="shared" si="8"/>
        <v>24232.125</v>
      </c>
      <c r="BD26" s="705">
        <f t="shared" si="8"/>
        <v>24232.125</v>
      </c>
      <c r="BE26" s="705">
        <f t="shared" si="8"/>
        <v>24232.125</v>
      </c>
      <c r="BF26" s="705">
        <f t="shared" si="8"/>
        <v>24232.125</v>
      </c>
      <c r="BG26" s="705">
        <f t="shared" si="8"/>
        <v>24232.125</v>
      </c>
      <c r="BH26" s="705">
        <f t="shared" si="8"/>
        <v>24232.125</v>
      </c>
      <c r="BI26" s="705">
        <f t="shared" si="8"/>
        <v>24232.125</v>
      </c>
      <c r="BJ26" s="705">
        <f t="shared" si="8"/>
        <v>24232.125</v>
      </c>
      <c r="BK26" s="705">
        <f t="shared" si="8"/>
        <v>24232.125</v>
      </c>
      <c r="BL26" s="705">
        <f t="shared" si="8"/>
        <v>24232.125</v>
      </c>
      <c r="BM26" s="705">
        <f t="shared" si="8"/>
        <v>24232.125</v>
      </c>
      <c r="BN26" s="705">
        <f t="shared" si="8"/>
        <v>24232.125</v>
      </c>
      <c r="BO26" s="705">
        <f t="shared" si="8"/>
        <v>24232.125</v>
      </c>
      <c r="BP26" s="705">
        <f t="shared" si="8"/>
        <v>24232.125</v>
      </c>
      <c r="BQ26" s="705">
        <f t="shared" si="8"/>
        <v>24232.125</v>
      </c>
      <c r="BR26" s="705">
        <f t="shared" si="8"/>
        <v>24232.125</v>
      </c>
      <c r="BS26" s="705">
        <f t="shared" si="8"/>
        <v>24232.125</v>
      </c>
      <c r="BT26" s="705">
        <f t="shared" si="8"/>
        <v>24232.125</v>
      </c>
      <c r="BU26" s="705">
        <f t="shared" si="8"/>
        <v>24232.125</v>
      </c>
      <c r="BV26" s="705">
        <f t="shared" si="8"/>
        <v>24232.125</v>
      </c>
      <c r="BW26" s="705">
        <f t="shared" si="8"/>
        <v>24232.125</v>
      </c>
      <c r="BX26" s="705">
        <f t="shared" si="8"/>
        <v>24232.125</v>
      </c>
      <c r="BY26" s="705">
        <f t="shared" si="8"/>
        <v>24232.125</v>
      </c>
      <c r="BZ26" s="705">
        <f t="shared" si="8"/>
        <v>24232.125</v>
      </c>
      <c r="CA26" s="705">
        <f t="shared" si="8"/>
        <v>24232.125</v>
      </c>
      <c r="CB26" s="705">
        <f t="shared" si="8"/>
        <v>24232.125</v>
      </c>
      <c r="CC26" s="705">
        <f t="shared" si="8"/>
        <v>24232.125</v>
      </c>
      <c r="CD26" s="705">
        <f t="shared" si="8"/>
        <v>24232.125</v>
      </c>
      <c r="CE26" s="705">
        <f t="shared" si="8"/>
        <v>24232.125</v>
      </c>
      <c r="CF26" s="705">
        <f t="shared" si="8"/>
        <v>24232.125</v>
      </c>
      <c r="CG26" s="705">
        <f t="shared" si="8"/>
        <v>24232.125</v>
      </c>
      <c r="CH26" s="705">
        <f t="shared" si="8"/>
        <v>24232.125</v>
      </c>
      <c r="CI26" s="705">
        <f t="shared" si="8"/>
        <v>24232.125</v>
      </c>
      <c r="CJ26" s="705">
        <f t="shared" si="8"/>
        <v>24232.125</v>
      </c>
      <c r="CK26" s="705">
        <f t="shared" si="8"/>
        <v>24232.125</v>
      </c>
      <c r="CL26" s="707">
        <f t="shared" si="8"/>
        <v>24232.125</v>
      </c>
      <c r="CM26" s="642">
        <f t="shared" si="0"/>
        <v>24232.125</v>
      </c>
      <c r="CN26" s="245"/>
      <c r="CO26" s="245"/>
      <c r="CP26" s="245"/>
      <c r="CQ26" s="245"/>
      <c r="CR26" s="245"/>
      <c r="CS26" s="245"/>
      <c r="CT26" s="245"/>
      <c r="CU26" s="245"/>
      <c r="CV26" s="245"/>
      <c r="CW26" s="245"/>
      <c r="CX26" s="245"/>
      <c r="CY26" s="245"/>
      <c r="CZ26" s="245"/>
      <c r="DA26" s="245"/>
      <c r="DB26" s="245"/>
      <c r="DC26" s="245"/>
      <c r="DD26" s="245"/>
      <c r="DE26" s="245"/>
      <c r="DF26" s="245"/>
      <c r="DG26" s="245"/>
      <c r="DH26" s="245"/>
      <c r="DI26" s="245"/>
      <c r="DJ26" s="245"/>
      <c r="DK26" s="245"/>
      <c r="DL26" s="245"/>
      <c r="DM26" s="245"/>
      <c r="DN26" s="245"/>
      <c r="DO26" s="245"/>
      <c r="DP26" s="245"/>
      <c r="DQ26" s="245"/>
      <c r="DR26" s="245"/>
      <c r="DS26" s="245"/>
      <c r="DT26" s="245"/>
      <c r="DU26" s="245"/>
      <c r="DV26" s="245"/>
      <c r="DW26" s="245"/>
      <c r="DX26" s="245"/>
      <c r="DY26" s="245"/>
      <c r="DZ26" s="245"/>
      <c r="EA26" s="245"/>
      <c r="EB26" s="245"/>
      <c r="EC26" s="245"/>
      <c r="ED26" s="245"/>
      <c r="EE26" s="245"/>
      <c r="EF26" s="245"/>
      <c r="EG26" s="245"/>
      <c r="EH26" s="245"/>
      <c r="EI26" s="245"/>
      <c r="EJ26" s="245"/>
      <c r="EK26" s="245"/>
      <c r="EL26" s="245"/>
      <c r="EM26" s="245"/>
      <c r="EN26" s="245"/>
      <c r="EO26" s="245"/>
      <c r="EP26" s="245"/>
      <c r="EQ26" s="245"/>
      <c r="ER26" s="245"/>
      <c r="ES26" s="245"/>
      <c r="ET26" s="245"/>
      <c r="EU26" s="245"/>
      <c r="EV26" s="245"/>
      <c r="EW26" s="245"/>
      <c r="EX26" s="245"/>
      <c r="EY26" s="245"/>
      <c r="EZ26" s="245"/>
      <c r="FA26" s="245"/>
      <c r="FB26" s="245"/>
      <c r="FC26" s="245"/>
      <c r="FD26" s="245"/>
      <c r="FE26" s="245"/>
      <c r="FF26" s="245"/>
      <c r="FG26" s="245"/>
      <c r="FH26" s="245"/>
      <c r="FI26" s="245"/>
      <c r="FJ26" s="245"/>
      <c r="FK26" s="245"/>
      <c r="FL26" s="245"/>
      <c r="FM26" s="245"/>
      <c r="FN26" s="245"/>
      <c r="FO26" s="245"/>
      <c r="FP26" s="245"/>
      <c r="FQ26" s="245"/>
      <c r="FR26" s="245"/>
      <c r="FS26" s="245"/>
      <c r="FT26" s="245"/>
      <c r="FU26" s="245"/>
      <c r="FV26" s="245"/>
    </row>
    <row r="27" spans="1:178">
      <c r="A27" s="1026"/>
      <c r="B27" s="639" t="s">
        <v>309</v>
      </c>
      <c r="C27" s="640" t="s">
        <v>310</v>
      </c>
      <c r="D27" s="640">
        <v>1.8104</v>
      </c>
      <c r="E27" s="245"/>
      <c r="F27" s="665" t="s">
        <v>173</v>
      </c>
      <c r="G27" s="705">
        <v>200391.36559999999</v>
      </c>
      <c r="H27" s="705">
        <v>200391.36559999999</v>
      </c>
      <c r="I27" s="705">
        <v>200391.36559999999</v>
      </c>
      <c r="J27" s="705">
        <v>200391.36559999999</v>
      </c>
      <c r="K27" s="705">
        <v>200391.36559999999</v>
      </c>
      <c r="L27" s="705">
        <v>200391.36559999999</v>
      </c>
      <c r="M27" s="705">
        <v>200391.36559999999</v>
      </c>
      <c r="N27" s="705">
        <v>200391.36559999999</v>
      </c>
      <c r="O27" s="705">
        <v>200391.36559999999</v>
      </c>
      <c r="P27" s="705">
        <v>200391.36559999999</v>
      </c>
      <c r="Q27" s="705">
        <v>200391.36559999999</v>
      </c>
      <c r="R27" s="705">
        <v>200391.36559999999</v>
      </c>
      <c r="S27" s="705">
        <v>200391.36559999999</v>
      </c>
      <c r="T27" s="706">
        <f t="shared" ref="T27:AS27" si="9">$D$27*T16</f>
        <v>200391.36559999999</v>
      </c>
      <c r="U27" s="705">
        <f t="shared" si="9"/>
        <v>200391.36559999999</v>
      </c>
      <c r="V27" s="706">
        <f t="shared" si="9"/>
        <v>200391.36559999999</v>
      </c>
      <c r="W27" s="705">
        <f t="shared" si="9"/>
        <v>200391.36559999999</v>
      </c>
      <c r="X27" s="706">
        <f t="shared" si="9"/>
        <v>200391.36559999999</v>
      </c>
      <c r="Y27" s="705">
        <f t="shared" si="9"/>
        <v>200391.36559999999</v>
      </c>
      <c r="Z27" s="706">
        <f t="shared" si="9"/>
        <v>200391.36559999999</v>
      </c>
      <c r="AA27" s="705">
        <f t="shared" si="9"/>
        <v>200391.36559999999</v>
      </c>
      <c r="AB27" s="706">
        <f t="shared" si="9"/>
        <v>200391.36559999999</v>
      </c>
      <c r="AC27" s="705">
        <f t="shared" si="9"/>
        <v>200391.36559999999</v>
      </c>
      <c r="AD27" s="706">
        <f t="shared" si="9"/>
        <v>200391.36559999999</v>
      </c>
      <c r="AE27" s="705">
        <f t="shared" si="9"/>
        <v>200391.36559999999</v>
      </c>
      <c r="AF27" s="706">
        <f t="shared" si="9"/>
        <v>200391.36559999999</v>
      </c>
      <c r="AG27" s="705">
        <f t="shared" si="9"/>
        <v>200391.36559999999</v>
      </c>
      <c r="AH27" s="706">
        <f t="shared" si="9"/>
        <v>200391.36559999999</v>
      </c>
      <c r="AI27" s="705">
        <f t="shared" si="9"/>
        <v>200391.36559999999</v>
      </c>
      <c r="AJ27" s="706">
        <f t="shared" si="9"/>
        <v>200391.36559999999</v>
      </c>
      <c r="AK27" s="705">
        <f t="shared" si="9"/>
        <v>200391.36559999999</v>
      </c>
      <c r="AL27" s="706">
        <f t="shared" si="9"/>
        <v>200391.36559999999</v>
      </c>
      <c r="AM27" s="705">
        <f t="shared" si="9"/>
        <v>200391.36559999999</v>
      </c>
      <c r="AN27" s="706">
        <f t="shared" si="9"/>
        <v>200391.36559999999</v>
      </c>
      <c r="AO27" s="705">
        <f t="shared" si="9"/>
        <v>200391.36559999999</v>
      </c>
      <c r="AP27" s="706">
        <f t="shared" si="9"/>
        <v>200391.36559999999</v>
      </c>
      <c r="AQ27" s="705">
        <f t="shared" si="9"/>
        <v>200391.36559999999</v>
      </c>
      <c r="AR27" s="706">
        <f t="shared" si="9"/>
        <v>200391.36559999999</v>
      </c>
      <c r="AS27" s="705">
        <f t="shared" si="9"/>
        <v>200391.36559999999</v>
      </c>
      <c r="AT27" s="706">
        <f>$D$27*AT16</f>
        <v>200391.36559999999</v>
      </c>
      <c r="AU27" s="705">
        <f t="shared" ref="AU27:CL27" si="10">$D$27*AU16</f>
        <v>200391.36559999999</v>
      </c>
      <c r="AV27" s="705">
        <f t="shared" si="10"/>
        <v>200391.36559999999</v>
      </c>
      <c r="AW27" s="705">
        <f t="shared" si="10"/>
        <v>200391.36559999999</v>
      </c>
      <c r="AX27" s="705">
        <f t="shared" si="10"/>
        <v>200391.36559999999</v>
      </c>
      <c r="AY27" s="705">
        <f t="shared" si="10"/>
        <v>200391.36559999999</v>
      </c>
      <c r="AZ27" s="705">
        <f t="shared" si="10"/>
        <v>200391.36559999999</v>
      </c>
      <c r="BA27" s="705">
        <f t="shared" si="10"/>
        <v>200391.36559999999</v>
      </c>
      <c r="BB27" s="705">
        <f t="shared" si="10"/>
        <v>200391.36559999999</v>
      </c>
      <c r="BC27" s="705">
        <f t="shared" si="10"/>
        <v>200391.36559999999</v>
      </c>
      <c r="BD27" s="705">
        <f t="shared" si="10"/>
        <v>200391.36559999999</v>
      </c>
      <c r="BE27" s="705">
        <f t="shared" si="10"/>
        <v>200391.36559999999</v>
      </c>
      <c r="BF27" s="705">
        <f t="shared" si="10"/>
        <v>200391.36559999999</v>
      </c>
      <c r="BG27" s="705">
        <f t="shared" si="10"/>
        <v>200391.36559999999</v>
      </c>
      <c r="BH27" s="705">
        <f t="shared" si="10"/>
        <v>200391.36559999999</v>
      </c>
      <c r="BI27" s="705">
        <f t="shared" si="10"/>
        <v>200391.36559999999</v>
      </c>
      <c r="BJ27" s="705">
        <f t="shared" si="10"/>
        <v>200391.36559999999</v>
      </c>
      <c r="BK27" s="705">
        <f t="shared" si="10"/>
        <v>200391.36559999999</v>
      </c>
      <c r="BL27" s="705">
        <f t="shared" si="10"/>
        <v>200391.36559999999</v>
      </c>
      <c r="BM27" s="705">
        <f t="shared" si="10"/>
        <v>200391.36559999999</v>
      </c>
      <c r="BN27" s="705">
        <f t="shared" si="10"/>
        <v>200391.36559999999</v>
      </c>
      <c r="BO27" s="705">
        <f t="shared" si="10"/>
        <v>200391.36559999999</v>
      </c>
      <c r="BP27" s="705">
        <f t="shared" si="10"/>
        <v>200391.36559999999</v>
      </c>
      <c r="BQ27" s="705">
        <f t="shared" si="10"/>
        <v>200391.36559999999</v>
      </c>
      <c r="BR27" s="705">
        <f t="shared" si="10"/>
        <v>200391.36559999999</v>
      </c>
      <c r="BS27" s="705">
        <f t="shared" si="10"/>
        <v>200391.36559999999</v>
      </c>
      <c r="BT27" s="705">
        <f t="shared" si="10"/>
        <v>200391.36559999999</v>
      </c>
      <c r="BU27" s="705">
        <f t="shared" si="10"/>
        <v>200391.36559999999</v>
      </c>
      <c r="BV27" s="705">
        <f t="shared" si="10"/>
        <v>200391.36559999999</v>
      </c>
      <c r="BW27" s="705">
        <f t="shared" si="10"/>
        <v>200391.36559999999</v>
      </c>
      <c r="BX27" s="705">
        <f t="shared" si="10"/>
        <v>200391.36559999999</v>
      </c>
      <c r="BY27" s="705">
        <f t="shared" si="10"/>
        <v>200391.36559999999</v>
      </c>
      <c r="BZ27" s="705">
        <f t="shared" si="10"/>
        <v>200391.36559999999</v>
      </c>
      <c r="CA27" s="705">
        <f t="shared" si="10"/>
        <v>200391.36559999999</v>
      </c>
      <c r="CB27" s="705">
        <f t="shared" si="10"/>
        <v>200391.36559999999</v>
      </c>
      <c r="CC27" s="705">
        <f t="shared" si="10"/>
        <v>200391.36559999999</v>
      </c>
      <c r="CD27" s="705">
        <f t="shared" si="10"/>
        <v>200391.36559999999</v>
      </c>
      <c r="CE27" s="705">
        <f t="shared" si="10"/>
        <v>200391.36559999999</v>
      </c>
      <c r="CF27" s="705">
        <f t="shared" si="10"/>
        <v>200391.36559999999</v>
      </c>
      <c r="CG27" s="705">
        <f t="shared" si="10"/>
        <v>200391.36559999999</v>
      </c>
      <c r="CH27" s="705">
        <f t="shared" si="10"/>
        <v>200391.36559999999</v>
      </c>
      <c r="CI27" s="705">
        <f t="shared" si="10"/>
        <v>200391.36559999999</v>
      </c>
      <c r="CJ27" s="705">
        <f t="shared" si="10"/>
        <v>200391.36559999999</v>
      </c>
      <c r="CK27" s="705">
        <f t="shared" si="10"/>
        <v>200391.36559999999</v>
      </c>
      <c r="CL27" s="707">
        <f t="shared" si="10"/>
        <v>200391.36559999999</v>
      </c>
      <c r="CM27" s="642">
        <f t="shared" si="0"/>
        <v>200391.36559999964</v>
      </c>
      <c r="CN27" s="245"/>
      <c r="CO27" s="245"/>
      <c r="CP27" s="245"/>
      <c r="CQ27" s="245"/>
      <c r="CR27" s="245"/>
      <c r="CS27" s="245"/>
      <c r="CT27" s="245"/>
      <c r="CU27" s="245"/>
      <c r="CV27" s="245"/>
      <c r="CW27" s="245"/>
      <c r="CX27" s="245"/>
      <c r="CY27" s="245"/>
      <c r="CZ27" s="245"/>
      <c r="DA27" s="245"/>
      <c r="DB27" s="245"/>
      <c r="DC27" s="245"/>
      <c r="DD27" s="245"/>
      <c r="DE27" s="245"/>
      <c r="DF27" s="245"/>
      <c r="DG27" s="245"/>
      <c r="DH27" s="245"/>
      <c r="DI27" s="245"/>
      <c r="DJ27" s="245"/>
      <c r="DK27" s="245"/>
      <c r="DL27" s="245"/>
      <c r="DM27" s="245"/>
      <c r="DN27" s="245"/>
      <c r="DO27" s="245"/>
      <c r="DP27" s="245"/>
      <c r="DQ27" s="245"/>
      <c r="DR27" s="245"/>
      <c r="DS27" s="245"/>
      <c r="DT27" s="245"/>
      <c r="DU27" s="245"/>
      <c r="DV27" s="245"/>
      <c r="DW27" s="245"/>
      <c r="DX27" s="245"/>
      <c r="DY27" s="245"/>
      <c r="DZ27" s="245"/>
      <c r="EA27" s="245"/>
      <c r="EB27" s="245"/>
      <c r="EC27" s="245"/>
      <c r="ED27" s="245"/>
      <c r="EE27" s="245"/>
      <c r="EF27" s="245"/>
      <c r="EG27" s="245"/>
      <c r="EH27" s="245"/>
      <c r="EI27" s="245"/>
      <c r="EJ27" s="245"/>
      <c r="EK27" s="245"/>
      <c r="EL27" s="245"/>
      <c r="EM27" s="245"/>
      <c r="EN27" s="245"/>
      <c r="EO27" s="245"/>
      <c r="EP27" s="245"/>
      <c r="EQ27" s="245"/>
      <c r="ER27" s="245"/>
      <c r="ES27" s="245"/>
      <c r="ET27" s="245"/>
      <c r="EU27" s="245"/>
      <c r="EV27" s="245"/>
      <c r="EW27" s="245"/>
      <c r="EX27" s="245"/>
      <c r="EY27" s="245"/>
      <c r="EZ27" s="245"/>
      <c r="FA27" s="245"/>
      <c r="FB27" s="245"/>
      <c r="FC27" s="245"/>
      <c r="FD27" s="245"/>
      <c r="FE27" s="245"/>
      <c r="FF27" s="245"/>
      <c r="FG27" s="245"/>
      <c r="FH27" s="245"/>
      <c r="FI27" s="245"/>
      <c r="FJ27" s="245"/>
      <c r="FK27" s="245"/>
      <c r="FL27" s="245"/>
      <c r="FM27" s="245"/>
      <c r="FN27" s="245"/>
      <c r="FO27" s="245"/>
      <c r="FP27" s="245"/>
      <c r="FQ27" s="245"/>
      <c r="FR27" s="245"/>
      <c r="FS27" s="245"/>
      <c r="FT27" s="245"/>
      <c r="FU27" s="245"/>
      <c r="FV27" s="245"/>
    </row>
    <row r="28" spans="1:178">
      <c r="A28" s="1026"/>
      <c r="B28" s="639" t="s">
        <v>309</v>
      </c>
      <c r="C28" s="640" t="s">
        <v>142</v>
      </c>
      <c r="D28" s="640"/>
      <c r="E28" s="245"/>
      <c r="F28" s="708" t="s">
        <v>315</v>
      </c>
      <c r="G28" s="709">
        <v>32343.773583749997</v>
      </c>
      <c r="H28" s="709">
        <v>32343.773583749997</v>
      </c>
      <c r="I28" s="709">
        <v>32343.773583749997</v>
      </c>
      <c r="J28" s="709">
        <v>32343.773583749997</v>
      </c>
      <c r="K28" s="709">
        <v>32343.773583749997</v>
      </c>
      <c r="L28" s="709">
        <v>32343.773583749997</v>
      </c>
      <c r="M28" s="709">
        <v>32343.773583749997</v>
      </c>
      <c r="N28" s="709">
        <v>32343.773583749997</v>
      </c>
      <c r="O28" s="709">
        <v>32343.773583749997</v>
      </c>
      <c r="P28" s="709">
        <v>32343.773583749997</v>
      </c>
      <c r="Q28" s="709">
        <v>32343.773583749997</v>
      </c>
      <c r="R28" s="709">
        <v>32343.773583749997</v>
      </c>
      <c r="S28" s="709">
        <v>32343.773583749997</v>
      </c>
      <c r="T28" s="709">
        <f t="shared" ref="T28:AS28" si="11">SUM(T29:T33)</f>
        <v>32343.773583749997</v>
      </c>
      <c r="U28" s="709">
        <f t="shared" si="11"/>
        <v>32343.773583749997</v>
      </c>
      <c r="V28" s="709">
        <f t="shared" si="11"/>
        <v>32343.773583749997</v>
      </c>
      <c r="W28" s="709">
        <f t="shared" si="11"/>
        <v>32343.773583749997</v>
      </c>
      <c r="X28" s="709">
        <f t="shared" si="11"/>
        <v>32343.773583749997</v>
      </c>
      <c r="Y28" s="709">
        <f t="shared" si="11"/>
        <v>32343.773583749997</v>
      </c>
      <c r="Z28" s="709">
        <f t="shared" si="11"/>
        <v>32343.773583749997</v>
      </c>
      <c r="AA28" s="709">
        <f t="shared" si="11"/>
        <v>32343.773583749997</v>
      </c>
      <c r="AB28" s="709">
        <f t="shared" si="11"/>
        <v>32343.773583749997</v>
      </c>
      <c r="AC28" s="709">
        <f t="shared" si="11"/>
        <v>32343.773583749997</v>
      </c>
      <c r="AD28" s="709">
        <f t="shared" si="11"/>
        <v>32343.773583749997</v>
      </c>
      <c r="AE28" s="709">
        <f t="shared" si="11"/>
        <v>32343.773583749997</v>
      </c>
      <c r="AF28" s="709">
        <f t="shared" si="11"/>
        <v>32343.773583749997</v>
      </c>
      <c r="AG28" s="709">
        <f t="shared" si="11"/>
        <v>32343.773583749997</v>
      </c>
      <c r="AH28" s="709">
        <f t="shared" si="11"/>
        <v>32343.773583749997</v>
      </c>
      <c r="AI28" s="709">
        <f t="shared" si="11"/>
        <v>32343.773583749997</v>
      </c>
      <c r="AJ28" s="709">
        <f t="shared" si="11"/>
        <v>32343.773583749997</v>
      </c>
      <c r="AK28" s="709">
        <f t="shared" si="11"/>
        <v>32343.773583749997</v>
      </c>
      <c r="AL28" s="709">
        <f t="shared" si="11"/>
        <v>32343.773583749997</v>
      </c>
      <c r="AM28" s="709">
        <f t="shared" si="11"/>
        <v>32343.773583749997</v>
      </c>
      <c r="AN28" s="709">
        <f t="shared" si="11"/>
        <v>32343.773583749997</v>
      </c>
      <c r="AO28" s="709">
        <f t="shared" si="11"/>
        <v>32343.773583749997</v>
      </c>
      <c r="AP28" s="709">
        <f t="shared" si="11"/>
        <v>32343.773583749997</v>
      </c>
      <c r="AQ28" s="709">
        <f t="shared" si="11"/>
        <v>32343.773583749997</v>
      </c>
      <c r="AR28" s="709">
        <f t="shared" si="11"/>
        <v>32343.773583749997</v>
      </c>
      <c r="AS28" s="709">
        <f t="shared" si="11"/>
        <v>32343.773583749997</v>
      </c>
      <c r="AT28" s="709">
        <f>SUM(AT29:AT33)</f>
        <v>32343.773583749997</v>
      </c>
      <c r="AU28" s="710">
        <f t="shared" ref="AU28:CL28" si="12">SUM(AU29:AU33)</f>
        <v>32343.773583749997</v>
      </c>
      <c r="AV28" s="710">
        <f t="shared" si="12"/>
        <v>32343.773583749997</v>
      </c>
      <c r="AW28" s="710">
        <f t="shared" si="12"/>
        <v>32343.773583749997</v>
      </c>
      <c r="AX28" s="710">
        <f t="shared" si="12"/>
        <v>32343.773583749997</v>
      </c>
      <c r="AY28" s="710">
        <f t="shared" si="12"/>
        <v>32343.773583749997</v>
      </c>
      <c r="AZ28" s="710">
        <f t="shared" si="12"/>
        <v>32343.773583749997</v>
      </c>
      <c r="BA28" s="710">
        <f t="shared" si="12"/>
        <v>32343.773583749997</v>
      </c>
      <c r="BB28" s="710">
        <f t="shared" si="12"/>
        <v>32343.773583749997</v>
      </c>
      <c r="BC28" s="710">
        <f t="shared" si="12"/>
        <v>32343.773583749997</v>
      </c>
      <c r="BD28" s="710">
        <f t="shared" si="12"/>
        <v>32343.773583749997</v>
      </c>
      <c r="BE28" s="710">
        <f t="shared" si="12"/>
        <v>32343.773583749997</v>
      </c>
      <c r="BF28" s="710">
        <f t="shared" si="12"/>
        <v>32343.773583749997</v>
      </c>
      <c r="BG28" s="710">
        <f t="shared" si="12"/>
        <v>32343.773583749997</v>
      </c>
      <c r="BH28" s="710">
        <f t="shared" si="12"/>
        <v>32343.773583749997</v>
      </c>
      <c r="BI28" s="710">
        <f t="shared" si="12"/>
        <v>32343.773583749997</v>
      </c>
      <c r="BJ28" s="710">
        <f t="shared" si="12"/>
        <v>32343.773583749997</v>
      </c>
      <c r="BK28" s="710">
        <f t="shared" si="12"/>
        <v>32343.773583749997</v>
      </c>
      <c r="BL28" s="710">
        <f t="shared" si="12"/>
        <v>32343.773583749997</v>
      </c>
      <c r="BM28" s="710">
        <f t="shared" si="12"/>
        <v>32343.773583749997</v>
      </c>
      <c r="BN28" s="710">
        <f t="shared" si="12"/>
        <v>32343.773583749997</v>
      </c>
      <c r="BO28" s="710">
        <f t="shared" si="12"/>
        <v>32343.773583749997</v>
      </c>
      <c r="BP28" s="710">
        <f t="shared" si="12"/>
        <v>32343.773583749997</v>
      </c>
      <c r="BQ28" s="710">
        <f t="shared" si="12"/>
        <v>32343.773583749997</v>
      </c>
      <c r="BR28" s="710">
        <f t="shared" si="12"/>
        <v>32343.773583749997</v>
      </c>
      <c r="BS28" s="710">
        <f t="shared" si="12"/>
        <v>32343.773583749997</v>
      </c>
      <c r="BT28" s="710">
        <f t="shared" si="12"/>
        <v>32343.773583749997</v>
      </c>
      <c r="BU28" s="710">
        <f t="shared" si="12"/>
        <v>32343.773583749997</v>
      </c>
      <c r="BV28" s="710">
        <f t="shared" si="12"/>
        <v>32343.773583749997</v>
      </c>
      <c r="BW28" s="710">
        <f t="shared" si="12"/>
        <v>32343.773583749997</v>
      </c>
      <c r="BX28" s="710">
        <f t="shared" si="12"/>
        <v>32343.773583749997</v>
      </c>
      <c r="BY28" s="710">
        <f t="shared" si="12"/>
        <v>32343.773583749997</v>
      </c>
      <c r="BZ28" s="710">
        <f t="shared" si="12"/>
        <v>32343.773583749997</v>
      </c>
      <c r="CA28" s="710">
        <f t="shared" si="12"/>
        <v>32343.773583749997</v>
      </c>
      <c r="CB28" s="710">
        <f t="shared" si="12"/>
        <v>32343.773583749997</v>
      </c>
      <c r="CC28" s="710">
        <f t="shared" si="12"/>
        <v>32343.773583749997</v>
      </c>
      <c r="CD28" s="710">
        <f t="shared" si="12"/>
        <v>32343.773583749997</v>
      </c>
      <c r="CE28" s="710">
        <f t="shared" si="12"/>
        <v>32343.773583749997</v>
      </c>
      <c r="CF28" s="710">
        <f t="shared" si="12"/>
        <v>32343.773583749997</v>
      </c>
      <c r="CG28" s="710">
        <f t="shared" si="12"/>
        <v>32343.773583749997</v>
      </c>
      <c r="CH28" s="710">
        <f t="shared" si="12"/>
        <v>32343.773583749997</v>
      </c>
      <c r="CI28" s="710">
        <f t="shared" si="12"/>
        <v>32343.773583749997</v>
      </c>
      <c r="CJ28" s="710">
        <f t="shared" si="12"/>
        <v>32343.773583749997</v>
      </c>
      <c r="CK28" s="710">
        <f t="shared" si="12"/>
        <v>32343.773583749997</v>
      </c>
      <c r="CL28" s="711">
        <f t="shared" si="12"/>
        <v>32343.773583749997</v>
      </c>
      <c r="CM28" s="712">
        <f t="shared" si="0"/>
        <v>32343.773583749953</v>
      </c>
      <c r="CN28" s="245"/>
      <c r="CO28" s="245"/>
      <c r="CP28" s="245"/>
      <c r="CQ28" s="245"/>
      <c r="CR28" s="245"/>
      <c r="CS28" s="245"/>
      <c r="CT28" s="245"/>
      <c r="CU28" s="245"/>
      <c r="CV28" s="245"/>
      <c r="CW28" s="245"/>
      <c r="CX28" s="245"/>
      <c r="CY28" s="245"/>
      <c r="CZ28" s="245"/>
      <c r="DA28" s="245"/>
      <c r="DB28" s="245"/>
      <c r="DC28" s="245"/>
      <c r="DD28" s="245"/>
      <c r="DE28" s="245"/>
      <c r="DF28" s="245"/>
      <c r="DG28" s="245"/>
      <c r="DH28" s="245"/>
      <c r="DI28" s="245"/>
      <c r="DJ28" s="245"/>
      <c r="DK28" s="245"/>
      <c r="DL28" s="245"/>
      <c r="DM28" s="245"/>
      <c r="DN28" s="245"/>
      <c r="DO28" s="245"/>
      <c r="DP28" s="245"/>
      <c r="DQ28" s="245"/>
      <c r="DR28" s="245"/>
      <c r="DS28" s="245"/>
      <c r="DT28" s="245"/>
      <c r="DU28" s="245"/>
      <c r="DV28" s="245"/>
      <c r="DW28" s="245"/>
      <c r="DX28" s="245"/>
      <c r="DY28" s="245"/>
      <c r="DZ28" s="245"/>
      <c r="EA28" s="245"/>
      <c r="EB28" s="245"/>
      <c r="EC28" s="245"/>
      <c r="ED28" s="245"/>
      <c r="EE28" s="245"/>
      <c r="EF28" s="245"/>
      <c r="EG28" s="245"/>
      <c r="EH28" s="245"/>
      <c r="EI28" s="245"/>
      <c r="EJ28" s="245"/>
      <c r="EK28" s="245"/>
      <c r="EL28" s="245"/>
      <c r="EM28" s="245"/>
      <c r="EN28" s="245"/>
      <c r="EO28" s="245"/>
      <c r="EP28" s="245"/>
      <c r="EQ28" s="245"/>
      <c r="ER28" s="245"/>
      <c r="ES28" s="245"/>
      <c r="ET28" s="245"/>
      <c r="EU28" s="245"/>
      <c r="EV28" s="245"/>
      <c r="EW28" s="245"/>
      <c r="EX28" s="245"/>
      <c r="EY28" s="245"/>
      <c r="EZ28" s="245"/>
      <c r="FA28" s="245"/>
      <c r="FB28" s="245"/>
      <c r="FC28" s="245"/>
      <c r="FD28" s="245"/>
      <c r="FE28" s="245"/>
      <c r="FF28" s="245"/>
      <c r="FG28" s="245"/>
      <c r="FH28" s="245"/>
      <c r="FI28" s="245"/>
      <c r="FJ28" s="245"/>
      <c r="FK28" s="245"/>
      <c r="FL28" s="245"/>
      <c r="FM28" s="245"/>
      <c r="FN28" s="245"/>
      <c r="FO28" s="245"/>
      <c r="FP28" s="245"/>
      <c r="FQ28" s="245"/>
      <c r="FR28" s="245"/>
      <c r="FS28" s="245"/>
      <c r="FT28" s="245"/>
      <c r="FU28" s="245"/>
      <c r="FV28" s="245"/>
    </row>
    <row r="29" spans="1:178">
      <c r="A29" s="1026"/>
      <c r="B29" s="639" t="s">
        <v>309</v>
      </c>
      <c r="C29" s="640" t="s">
        <v>310</v>
      </c>
      <c r="D29" s="640">
        <v>0.622</v>
      </c>
      <c r="E29" s="245"/>
      <c r="F29" s="713" t="s">
        <v>174</v>
      </c>
      <c r="G29" s="706">
        <v>29493.166666666664</v>
      </c>
      <c r="H29" s="706">
        <v>29493.166666666664</v>
      </c>
      <c r="I29" s="706">
        <v>29493.166666666664</v>
      </c>
      <c r="J29" s="706">
        <v>29493.166666666664</v>
      </c>
      <c r="K29" s="706">
        <v>29493.166666666664</v>
      </c>
      <c r="L29" s="706">
        <v>29493.166666666664</v>
      </c>
      <c r="M29" s="706">
        <v>29493.166666666664</v>
      </c>
      <c r="N29" s="706">
        <v>29493.166666666664</v>
      </c>
      <c r="O29" s="706">
        <v>29493.166666666664</v>
      </c>
      <c r="P29" s="706">
        <v>29493.166666666664</v>
      </c>
      <c r="Q29" s="706">
        <v>29493.166666666664</v>
      </c>
      <c r="R29" s="706">
        <v>29493.166666666664</v>
      </c>
      <c r="S29" s="706">
        <v>29493.166666666664</v>
      </c>
      <c r="T29" s="706">
        <f t="shared" ref="T29:AS29" si="13">$D$29*T12</f>
        <v>29493.166666666664</v>
      </c>
      <c r="U29" s="706">
        <f t="shared" si="13"/>
        <v>29493.166666666664</v>
      </c>
      <c r="V29" s="706">
        <f t="shared" si="13"/>
        <v>29493.166666666664</v>
      </c>
      <c r="W29" s="706">
        <f t="shared" si="13"/>
        <v>29493.166666666664</v>
      </c>
      <c r="X29" s="706">
        <f t="shared" si="13"/>
        <v>29493.166666666664</v>
      </c>
      <c r="Y29" s="706">
        <f t="shared" si="13"/>
        <v>29493.166666666664</v>
      </c>
      <c r="Z29" s="706">
        <f t="shared" si="13"/>
        <v>29493.166666666664</v>
      </c>
      <c r="AA29" s="706">
        <f t="shared" si="13"/>
        <v>29493.166666666664</v>
      </c>
      <c r="AB29" s="706">
        <f t="shared" si="13"/>
        <v>29493.166666666664</v>
      </c>
      <c r="AC29" s="706">
        <f t="shared" si="13"/>
        <v>29493.166666666664</v>
      </c>
      <c r="AD29" s="706">
        <f t="shared" si="13"/>
        <v>29493.166666666664</v>
      </c>
      <c r="AE29" s="706">
        <f t="shared" si="13"/>
        <v>29493.166666666664</v>
      </c>
      <c r="AF29" s="706">
        <f t="shared" si="13"/>
        <v>29493.166666666664</v>
      </c>
      <c r="AG29" s="706">
        <f t="shared" si="13"/>
        <v>29493.166666666664</v>
      </c>
      <c r="AH29" s="706">
        <f t="shared" si="13"/>
        <v>29493.166666666664</v>
      </c>
      <c r="AI29" s="706">
        <f t="shared" si="13"/>
        <v>29493.166666666664</v>
      </c>
      <c r="AJ29" s="706">
        <f t="shared" si="13"/>
        <v>29493.166666666664</v>
      </c>
      <c r="AK29" s="706">
        <f t="shared" si="13"/>
        <v>29493.166666666664</v>
      </c>
      <c r="AL29" s="706">
        <f t="shared" si="13"/>
        <v>29493.166666666664</v>
      </c>
      <c r="AM29" s="706">
        <f t="shared" si="13"/>
        <v>29493.166666666664</v>
      </c>
      <c r="AN29" s="706">
        <f t="shared" si="13"/>
        <v>29493.166666666664</v>
      </c>
      <c r="AO29" s="706">
        <f t="shared" si="13"/>
        <v>29493.166666666664</v>
      </c>
      <c r="AP29" s="706">
        <f t="shared" si="13"/>
        <v>29493.166666666664</v>
      </c>
      <c r="AQ29" s="706">
        <f t="shared" si="13"/>
        <v>29493.166666666664</v>
      </c>
      <c r="AR29" s="706">
        <f t="shared" si="13"/>
        <v>29493.166666666664</v>
      </c>
      <c r="AS29" s="706">
        <f t="shared" si="13"/>
        <v>29493.166666666664</v>
      </c>
      <c r="AT29" s="706">
        <f>$D$29*AT12</f>
        <v>29493.166666666664</v>
      </c>
      <c r="AU29" s="705">
        <f t="shared" ref="AU29:CL29" si="14">$D$29*AU12</f>
        <v>29493.166666666664</v>
      </c>
      <c r="AV29" s="705">
        <f t="shared" si="14"/>
        <v>29493.166666666664</v>
      </c>
      <c r="AW29" s="705">
        <f t="shared" si="14"/>
        <v>29493.166666666664</v>
      </c>
      <c r="AX29" s="705">
        <f t="shared" si="14"/>
        <v>29493.166666666664</v>
      </c>
      <c r="AY29" s="705">
        <f t="shared" si="14"/>
        <v>29493.166666666664</v>
      </c>
      <c r="AZ29" s="705">
        <f t="shared" si="14"/>
        <v>29493.166666666664</v>
      </c>
      <c r="BA29" s="705">
        <f t="shared" si="14"/>
        <v>29493.166666666664</v>
      </c>
      <c r="BB29" s="705">
        <f t="shared" si="14"/>
        <v>29493.166666666664</v>
      </c>
      <c r="BC29" s="705">
        <f t="shared" si="14"/>
        <v>29493.166666666664</v>
      </c>
      <c r="BD29" s="705">
        <f t="shared" si="14"/>
        <v>29493.166666666664</v>
      </c>
      <c r="BE29" s="705">
        <f t="shared" si="14"/>
        <v>29493.166666666664</v>
      </c>
      <c r="BF29" s="705">
        <f t="shared" si="14"/>
        <v>29493.166666666664</v>
      </c>
      <c r="BG29" s="705">
        <f t="shared" si="14"/>
        <v>29493.166666666664</v>
      </c>
      <c r="BH29" s="705">
        <f t="shared" si="14"/>
        <v>29493.166666666664</v>
      </c>
      <c r="BI29" s="705">
        <f t="shared" si="14"/>
        <v>29493.166666666664</v>
      </c>
      <c r="BJ29" s="705">
        <f t="shared" si="14"/>
        <v>29493.166666666664</v>
      </c>
      <c r="BK29" s="705">
        <f t="shared" si="14"/>
        <v>29493.166666666664</v>
      </c>
      <c r="BL29" s="705">
        <f t="shared" si="14"/>
        <v>29493.166666666664</v>
      </c>
      <c r="BM29" s="705">
        <f t="shared" si="14"/>
        <v>29493.166666666664</v>
      </c>
      <c r="BN29" s="705">
        <f t="shared" si="14"/>
        <v>29493.166666666664</v>
      </c>
      <c r="BO29" s="705">
        <f t="shared" si="14"/>
        <v>29493.166666666664</v>
      </c>
      <c r="BP29" s="705">
        <f t="shared" si="14"/>
        <v>29493.166666666664</v>
      </c>
      <c r="BQ29" s="705">
        <f t="shared" si="14"/>
        <v>29493.166666666664</v>
      </c>
      <c r="BR29" s="705">
        <f t="shared" si="14"/>
        <v>29493.166666666664</v>
      </c>
      <c r="BS29" s="705">
        <f t="shared" si="14"/>
        <v>29493.166666666664</v>
      </c>
      <c r="BT29" s="705">
        <f t="shared" si="14"/>
        <v>29493.166666666664</v>
      </c>
      <c r="BU29" s="705">
        <f t="shared" si="14"/>
        <v>29493.166666666664</v>
      </c>
      <c r="BV29" s="705">
        <f t="shared" si="14"/>
        <v>29493.166666666664</v>
      </c>
      <c r="BW29" s="705">
        <f t="shared" si="14"/>
        <v>29493.166666666664</v>
      </c>
      <c r="BX29" s="705">
        <f t="shared" si="14"/>
        <v>29493.166666666664</v>
      </c>
      <c r="BY29" s="705">
        <f t="shared" si="14"/>
        <v>29493.166666666664</v>
      </c>
      <c r="BZ29" s="705">
        <f t="shared" si="14"/>
        <v>29493.166666666664</v>
      </c>
      <c r="CA29" s="705">
        <f t="shared" si="14"/>
        <v>29493.166666666664</v>
      </c>
      <c r="CB29" s="705">
        <f t="shared" si="14"/>
        <v>29493.166666666664</v>
      </c>
      <c r="CC29" s="705">
        <f t="shared" si="14"/>
        <v>29493.166666666664</v>
      </c>
      <c r="CD29" s="705">
        <f t="shared" si="14"/>
        <v>29493.166666666664</v>
      </c>
      <c r="CE29" s="705">
        <f t="shared" si="14"/>
        <v>29493.166666666664</v>
      </c>
      <c r="CF29" s="705">
        <f t="shared" si="14"/>
        <v>29493.166666666664</v>
      </c>
      <c r="CG29" s="705">
        <f t="shared" si="14"/>
        <v>29493.166666666664</v>
      </c>
      <c r="CH29" s="705">
        <f t="shared" si="14"/>
        <v>29493.166666666664</v>
      </c>
      <c r="CI29" s="705">
        <f t="shared" si="14"/>
        <v>29493.166666666664</v>
      </c>
      <c r="CJ29" s="705">
        <f t="shared" si="14"/>
        <v>29493.166666666664</v>
      </c>
      <c r="CK29" s="705">
        <f t="shared" si="14"/>
        <v>29493.166666666664</v>
      </c>
      <c r="CL29" s="707">
        <f t="shared" si="14"/>
        <v>29493.166666666664</v>
      </c>
      <c r="CM29" s="642">
        <f t="shared" si="0"/>
        <v>29493.166666666672</v>
      </c>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row>
    <row r="30" spans="1:178">
      <c r="A30" s="1026"/>
      <c r="B30" s="639" t="s">
        <v>309</v>
      </c>
      <c r="C30" s="640" t="s">
        <v>310</v>
      </c>
      <c r="D30" s="640">
        <v>1.4999999999999999E-2</v>
      </c>
      <c r="E30" s="245"/>
      <c r="F30" s="713" t="s">
        <v>175</v>
      </c>
      <c r="G30" s="706">
        <v>871.25</v>
      </c>
      <c r="H30" s="706">
        <v>871.25</v>
      </c>
      <c r="I30" s="706">
        <v>871.25</v>
      </c>
      <c r="J30" s="706">
        <v>871.25</v>
      </c>
      <c r="K30" s="706">
        <v>871.25</v>
      </c>
      <c r="L30" s="706">
        <v>871.25</v>
      </c>
      <c r="M30" s="706">
        <v>871.25</v>
      </c>
      <c r="N30" s="706">
        <v>871.25</v>
      </c>
      <c r="O30" s="706">
        <v>871.25</v>
      </c>
      <c r="P30" s="706">
        <v>871.25</v>
      </c>
      <c r="Q30" s="706">
        <v>871.25</v>
      </c>
      <c r="R30" s="706">
        <v>871.25</v>
      </c>
      <c r="S30" s="706">
        <v>871.25</v>
      </c>
      <c r="T30" s="706">
        <f t="shared" ref="T30:AS30" si="15">$D$30*T13</f>
        <v>871.25</v>
      </c>
      <c r="U30" s="706">
        <f t="shared" si="15"/>
        <v>871.25</v>
      </c>
      <c r="V30" s="706">
        <f t="shared" si="15"/>
        <v>871.25</v>
      </c>
      <c r="W30" s="706">
        <f t="shared" si="15"/>
        <v>871.25</v>
      </c>
      <c r="X30" s="706">
        <f t="shared" si="15"/>
        <v>871.25</v>
      </c>
      <c r="Y30" s="706">
        <f t="shared" si="15"/>
        <v>871.25</v>
      </c>
      <c r="Z30" s="706">
        <f t="shared" si="15"/>
        <v>871.25</v>
      </c>
      <c r="AA30" s="706">
        <f t="shared" si="15"/>
        <v>871.25</v>
      </c>
      <c r="AB30" s="706">
        <f t="shared" si="15"/>
        <v>871.25</v>
      </c>
      <c r="AC30" s="706">
        <f t="shared" si="15"/>
        <v>871.25</v>
      </c>
      <c r="AD30" s="706">
        <f t="shared" si="15"/>
        <v>871.25</v>
      </c>
      <c r="AE30" s="706">
        <f t="shared" si="15"/>
        <v>871.25</v>
      </c>
      <c r="AF30" s="706">
        <f t="shared" si="15"/>
        <v>871.25</v>
      </c>
      <c r="AG30" s="706">
        <f t="shared" si="15"/>
        <v>871.25</v>
      </c>
      <c r="AH30" s="706">
        <f t="shared" si="15"/>
        <v>871.25</v>
      </c>
      <c r="AI30" s="706">
        <f t="shared" si="15"/>
        <v>871.25</v>
      </c>
      <c r="AJ30" s="706">
        <f t="shared" si="15"/>
        <v>871.25</v>
      </c>
      <c r="AK30" s="706">
        <f t="shared" si="15"/>
        <v>871.25</v>
      </c>
      <c r="AL30" s="706">
        <f t="shared" si="15"/>
        <v>871.25</v>
      </c>
      <c r="AM30" s="706">
        <f t="shared" si="15"/>
        <v>871.25</v>
      </c>
      <c r="AN30" s="706">
        <f t="shared" si="15"/>
        <v>871.25</v>
      </c>
      <c r="AO30" s="706">
        <f t="shared" si="15"/>
        <v>871.25</v>
      </c>
      <c r="AP30" s="706">
        <f t="shared" si="15"/>
        <v>871.25</v>
      </c>
      <c r="AQ30" s="706">
        <f t="shared" si="15"/>
        <v>871.25</v>
      </c>
      <c r="AR30" s="706">
        <f t="shared" si="15"/>
        <v>871.25</v>
      </c>
      <c r="AS30" s="706">
        <f t="shared" si="15"/>
        <v>871.25</v>
      </c>
      <c r="AT30" s="706">
        <f>$D$30*AT13</f>
        <v>871.25</v>
      </c>
      <c r="AU30" s="705">
        <f t="shared" ref="AU30:CL30" si="16">$D$30*AU13</f>
        <v>871.25</v>
      </c>
      <c r="AV30" s="705">
        <f t="shared" si="16"/>
        <v>871.25</v>
      </c>
      <c r="AW30" s="705">
        <f t="shared" si="16"/>
        <v>871.25</v>
      </c>
      <c r="AX30" s="705">
        <f t="shared" si="16"/>
        <v>871.25</v>
      </c>
      <c r="AY30" s="705">
        <f t="shared" si="16"/>
        <v>871.25</v>
      </c>
      <c r="AZ30" s="705">
        <f t="shared" si="16"/>
        <v>871.25</v>
      </c>
      <c r="BA30" s="705">
        <f t="shared" si="16"/>
        <v>871.25</v>
      </c>
      <c r="BB30" s="705">
        <f t="shared" si="16"/>
        <v>871.25</v>
      </c>
      <c r="BC30" s="705">
        <f t="shared" si="16"/>
        <v>871.25</v>
      </c>
      <c r="BD30" s="705">
        <f t="shared" si="16"/>
        <v>871.25</v>
      </c>
      <c r="BE30" s="705">
        <f t="shared" si="16"/>
        <v>871.25</v>
      </c>
      <c r="BF30" s="705">
        <f t="shared" si="16"/>
        <v>871.25</v>
      </c>
      <c r="BG30" s="705">
        <f t="shared" si="16"/>
        <v>871.25</v>
      </c>
      <c r="BH30" s="705">
        <f t="shared" si="16"/>
        <v>871.25</v>
      </c>
      <c r="BI30" s="705">
        <f t="shared" si="16"/>
        <v>871.25</v>
      </c>
      <c r="BJ30" s="705">
        <f t="shared" si="16"/>
        <v>871.25</v>
      </c>
      <c r="BK30" s="705">
        <f t="shared" si="16"/>
        <v>871.25</v>
      </c>
      <c r="BL30" s="705">
        <f t="shared" si="16"/>
        <v>871.25</v>
      </c>
      <c r="BM30" s="705">
        <f t="shared" si="16"/>
        <v>871.25</v>
      </c>
      <c r="BN30" s="705">
        <f t="shared" si="16"/>
        <v>871.25</v>
      </c>
      <c r="BO30" s="705">
        <f t="shared" si="16"/>
        <v>871.25</v>
      </c>
      <c r="BP30" s="705">
        <f t="shared" si="16"/>
        <v>871.25</v>
      </c>
      <c r="BQ30" s="705">
        <f t="shared" si="16"/>
        <v>871.25</v>
      </c>
      <c r="BR30" s="705">
        <f t="shared" si="16"/>
        <v>871.25</v>
      </c>
      <c r="BS30" s="705">
        <f t="shared" si="16"/>
        <v>871.25</v>
      </c>
      <c r="BT30" s="705">
        <f t="shared" si="16"/>
        <v>871.25</v>
      </c>
      <c r="BU30" s="705">
        <f t="shared" si="16"/>
        <v>871.25</v>
      </c>
      <c r="BV30" s="705">
        <f t="shared" si="16"/>
        <v>871.25</v>
      </c>
      <c r="BW30" s="705">
        <f t="shared" si="16"/>
        <v>871.25</v>
      </c>
      <c r="BX30" s="705">
        <f t="shared" si="16"/>
        <v>871.25</v>
      </c>
      <c r="BY30" s="705">
        <f t="shared" si="16"/>
        <v>871.25</v>
      </c>
      <c r="BZ30" s="705">
        <f t="shared" si="16"/>
        <v>871.25</v>
      </c>
      <c r="CA30" s="705">
        <f t="shared" si="16"/>
        <v>871.25</v>
      </c>
      <c r="CB30" s="705">
        <f t="shared" si="16"/>
        <v>871.25</v>
      </c>
      <c r="CC30" s="705">
        <f t="shared" si="16"/>
        <v>871.25</v>
      </c>
      <c r="CD30" s="705">
        <f t="shared" si="16"/>
        <v>871.25</v>
      </c>
      <c r="CE30" s="705">
        <f t="shared" si="16"/>
        <v>871.25</v>
      </c>
      <c r="CF30" s="705">
        <f t="shared" si="16"/>
        <v>871.25</v>
      </c>
      <c r="CG30" s="705">
        <f t="shared" si="16"/>
        <v>871.25</v>
      </c>
      <c r="CH30" s="705">
        <f t="shared" si="16"/>
        <v>871.25</v>
      </c>
      <c r="CI30" s="705">
        <f t="shared" si="16"/>
        <v>871.25</v>
      </c>
      <c r="CJ30" s="705">
        <f t="shared" si="16"/>
        <v>871.25</v>
      </c>
      <c r="CK30" s="705">
        <f t="shared" si="16"/>
        <v>871.25</v>
      </c>
      <c r="CL30" s="707">
        <f t="shared" si="16"/>
        <v>871.25</v>
      </c>
      <c r="CM30" s="642">
        <f t="shared" si="0"/>
        <v>871.25</v>
      </c>
      <c r="CN30" s="245"/>
      <c r="CO30" s="245"/>
      <c r="CP30" s="245"/>
      <c r="CQ30" s="245"/>
      <c r="CR30" s="245"/>
      <c r="CS30" s="245"/>
      <c r="CT30" s="245"/>
      <c r="CU30" s="245"/>
      <c r="CV30" s="245"/>
      <c r="CW30" s="245"/>
      <c r="CX30" s="245"/>
      <c r="CY30" s="245"/>
      <c r="CZ30" s="245"/>
      <c r="DA30" s="245"/>
      <c r="DB30" s="245"/>
      <c r="DC30" s="245"/>
      <c r="DD30" s="245"/>
      <c r="DE30" s="245"/>
      <c r="DF30" s="245"/>
      <c r="DG30" s="245"/>
      <c r="DH30" s="245"/>
      <c r="DI30" s="245"/>
      <c r="DJ30" s="245"/>
      <c r="DK30" s="245"/>
      <c r="DL30" s="245"/>
      <c r="DM30" s="245"/>
      <c r="DN30" s="245"/>
      <c r="DO30" s="245"/>
      <c r="DP30" s="245"/>
      <c r="DQ30" s="245"/>
      <c r="DR30" s="245"/>
      <c r="DS30" s="245"/>
      <c r="DT30" s="245"/>
      <c r="DU30" s="245"/>
      <c r="DV30" s="245"/>
      <c r="DW30" s="245"/>
      <c r="DX30" s="245"/>
      <c r="DY30" s="245"/>
      <c r="DZ30" s="245"/>
      <c r="EA30" s="245"/>
      <c r="EB30" s="245"/>
      <c r="EC30" s="245"/>
      <c r="ED30" s="245"/>
      <c r="EE30" s="245"/>
      <c r="EF30" s="245"/>
      <c r="EG30" s="245"/>
      <c r="EH30" s="245"/>
      <c r="EI30" s="245"/>
      <c r="EJ30" s="245"/>
      <c r="EK30" s="245"/>
      <c r="EL30" s="245"/>
      <c r="EM30" s="245"/>
      <c r="EN30" s="245"/>
      <c r="EO30" s="245"/>
      <c r="EP30" s="245"/>
      <c r="EQ30" s="245"/>
      <c r="ER30" s="245"/>
      <c r="ES30" s="245"/>
      <c r="ET30" s="245"/>
      <c r="EU30" s="245"/>
      <c r="EV30" s="245"/>
      <c r="EW30" s="245"/>
      <c r="EX30" s="245"/>
      <c r="EY30" s="245"/>
      <c r="EZ30" s="245"/>
      <c r="FA30" s="245"/>
      <c r="FB30" s="245"/>
      <c r="FC30" s="245"/>
      <c r="FD30" s="245"/>
      <c r="FE30" s="245"/>
      <c r="FF30" s="245"/>
      <c r="FG30" s="245"/>
      <c r="FH30" s="245"/>
      <c r="FI30" s="245"/>
      <c r="FJ30" s="245"/>
      <c r="FK30" s="245"/>
      <c r="FL30" s="245"/>
      <c r="FM30" s="245"/>
      <c r="FN30" s="245"/>
      <c r="FO30" s="245"/>
      <c r="FP30" s="245"/>
      <c r="FQ30" s="245"/>
      <c r="FR30" s="245"/>
      <c r="FS30" s="245"/>
      <c r="FT30" s="245"/>
      <c r="FU30" s="245"/>
      <c r="FV30" s="245"/>
    </row>
    <row r="31" spans="1:178">
      <c r="A31" s="1026"/>
      <c r="B31" s="639" t="s">
        <v>309</v>
      </c>
      <c r="C31" s="640" t="s">
        <v>310</v>
      </c>
      <c r="D31" s="640">
        <v>1.9E-2</v>
      </c>
      <c r="E31" s="245"/>
      <c r="F31" s="713" t="s">
        <v>176</v>
      </c>
      <c r="G31" s="706">
        <v>215.33333333333334</v>
      </c>
      <c r="H31" s="706">
        <v>215.33333333333334</v>
      </c>
      <c r="I31" s="706">
        <v>215.33333333333334</v>
      </c>
      <c r="J31" s="706">
        <v>215.33333333333334</v>
      </c>
      <c r="K31" s="706">
        <v>215.33333333333334</v>
      </c>
      <c r="L31" s="706">
        <v>215.33333333333334</v>
      </c>
      <c r="M31" s="706">
        <v>215.33333333333334</v>
      </c>
      <c r="N31" s="706">
        <v>215.33333333333334</v>
      </c>
      <c r="O31" s="706">
        <v>215.33333333333334</v>
      </c>
      <c r="P31" s="706">
        <v>215.33333333333334</v>
      </c>
      <c r="Q31" s="706">
        <v>215.33333333333334</v>
      </c>
      <c r="R31" s="706">
        <v>215.33333333333334</v>
      </c>
      <c r="S31" s="706">
        <v>215.33333333333334</v>
      </c>
      <c r="T31" s="706">
        <f t="shared" ref="T31:AS31" si="17">$D$31*T14</f>
        <v>215.33333333333334</v>
      </c>
      <c r="U31" s="706">
        <f t="shared" si="17"/>
        <v>215.33333333333334</v>
      </c>
      <c r="V31" s="706">
        <f t="shared" si="17"/>
        <v>215.33333333333334</v>
      </c>
      <c r="W31" s="706">
        <f t="shared" si="17"/>
        <v>215.33333333333334</v>
      </c>
      <c r="X31" s="706">
        <f t="shared" si="17"/>
        <v>215.33333333333334</v>
      </c>
      <c r="Y31" s="706">
        <f t="shared" si="17"/>
        <v>215.33333333333334</v>
      </c>
      <c r="Z31" s="706">
        <f t="shared" si="17"/>
        <v>215.33333333333334</v>
      </c>
      <c r="AA31" s="706">
        <f t="shared" si="17"/>
        <v>215.33333333333334</v>
      </c>
      <c r="AB31" s="706">
        <f t="shared" si="17"/>
        <v>215.33333333333334</v>
      </c>
      <c r="AC31" s="706">
        <f t="shared" si="17"/>
        <v>215.33333333333334</v>
      </c>
      <c r="AD31" s="706">
        <f t="shared" si="17"/>
        <v>215.33333333333334</v>
      </c>
      <c r="AE31" s="706">
        <f t="shared" si="17"/>
        <v>215.33333333333334</v>
      </c>
      <c r="AF31" s="706">
        <f t="shared" si="17"/>
        <v>215.33333333333334</v>
      </c>
      <c r="AG31" s="706">
        <f t="shared" si="17"/>
        <v>215.33333333333334</v>
      </c>
      <c r="AH31" s="706">
        <f t="shared" si="17"/>
        <v>215.33333333333334</v>
      </c>
      <c r="AI31" s="706">
        <f t="shared" si="17"/>
        <v>215.33333333333334</v>
      </c>
      <c r="AJ31" s="706">
        <f t="shared" si="17"/>
        <v>215.33333333333334</v>
      </c>
      <c r="AK31" s="706">
        <f t="shared" si="17"/>
        <v>215.33333333333334</v>
      </c>
      <c r="AL31" s="706">
        <f t="shared" si="17"/>
        <v>215.33333333333334</v>
      </c>
      <c r="AM31" s="706">
        <f t="shared" si="17"/>
        <v>215.33333333333334</v>
      </c>
      <c r="AN31" s="706">
        <f t="shared" si="17"/>
        <v>215.33333333333334</v>
      </c>
      <c r="AO31" s="706">
        <f t="shared" si="17"/>
        <v>215.33333333333334</v>
      </c>
      <c r="AP31" s="706">
        <f t="shared" si="17"/>
        <v>215.33333333333334</v>
      </c>
      <c r="AQ31" s="706">
        <f t="shared" si="17"/>
        <v>215.33333333333334</v>
      </c>
      <c r="AR31" s="706">
        <f t="shared" si="17"/>
        <v>215.33333333333334</v>
      </c>
      <c r="AS31" s="706">
        <f t="shared" si="17"/>
        <v>215.33333333333334</v>
      </c>
      <c r="AT31" s="706">
        <f>$D$31*AT14</f>
        <v>215.33333333333334</v>
      </c>
      <c r="AU31" s="705">
        <f t="shared" ref="AU31:CL31" si="18">$D$31*AU14</f>
        <v>215.33333333333334</v>
      </c>
      <c r="AV31" s="705">
        <f t="shared" si="18"/>
        <v>215.33333333333334</v>
      </c>
      <c r="AW31" s="705">
        <f t="shared" si="18"/>
        <v>215.33333333333334</v>
      </c>
      <c r="AX31" s="705">
        <f t="shared" si="18"/>
        <v>215.33333333333334</v>
      </c>
      <c r="AY31" s="705">
        <f t="shared" si="18"/>
        <v>215.33333333333334</v>
      </c>
      <c r="AZ31" s="705">
        <f t="shared" si="18"/>
        <v>215.33333333333334</v>
      </c>
      <c r="BA31" s="705">
        <f t="shared" si="18"/>
        <v>215.33333333333334</v>
      </c>
      <c r="BB31" s="705">
        <f t="shared" si="18"/>
        <v>215.33333333333334</v>
      </c>
      <c r="BC31" s="705">
        <f t="shared" si="18"/>
        <v>215.33333333333334</v>
      </c>
      <c r="BD31" s="705">
        <f t="shared" si="18"/>
        <v>215.33333333333334</v>
      </c>
      <c r="BE31" s="705">
        <f t="shared" si="18"/>
        <v>215.33333333333334</v>
      </c>
      <c r="BF31" s="705">
        <f t="shared" si="18"/>
        <v>215.33333333333334</v>
      </c>
      <c r="BG31" s="705">
        <f t="shared" si="18"/>
        <v>215.33333333333334</v>
      </c>
      <c r="BH31" s="705">
        <f t="shared" si="18"/>
        <v>215.33333333333334</v>
      </c>
      <c r="BI31" s="705">
        <f t="shared" si="18"/>
        <v>215.33333333333334</v>
      </c>
      <c r="BJ31" s="705">
        <f t="shared" si="18"/>
        <v>215.33333333333334</v>
      </c>
      <c r="BK31" s="705">
        <f t="shared" si="18"/>
        <v>215.33333333333334</v>
      </c>
      <c r="BL31" s="705">
        <f t="shared" si="18"/>
        <v>215.33333333333334</v>
      </c>
      <c r="BM31" s="705">
        <f t="shared" si="18"/>
        <v>215.33333333333334</v>
      </c>
      <c r="BN31" s="705">
        <f t="shared" si="18"/>
        <v>215.33333333333334</v>
      </c>
      <c r="BO31" s="705">
        <f t="shared" si="18"/>
        <v>215.33333333333334</v>
      </c>
      <c r="BP31" s="705">
        <f t="shared" si="18"/>
        <v>215.33333333333334</v>
      </c>
      <c r="BQ31" s="705">
        <f t="shared" si="18"/>
        <v>215.33333333333334</v>
      </c>
      <c r="BR31" s="705">
        <f t="shared" si="18"/>
        <v>215.33333333333334</v>
      </c>
      <c r="BS31" s="705">
        <f t="shared" si="18"/>
        <v>215.33333333333334</v>
      </c>
      <c r="BT31" s="705">
        <f t="shared" si="18"/>
        <v>215.33333333333334</v>
      </c>
      <c r="BU31" s="705">
        <f t="shared" si="18"/>
        <v>215.33333333333334</v>
      </c>
      <c r="BV31" s="705">
        <f t="shared" si="18"/>
        <v>215.33333333333334</v>
      </c>
      <c r="BW31" s="705">
        <f t="shared" si="18"/>
        <v>215.33333333333334</v>
      </c>
      <c r="BX31" s="705">
        <f t="shared" si="18"/>
        <v>215.33333333333334</v>
      </c>
      <c r="BY31" s="705">
        <f t="shared" si="18"/>
        <v>215.33333333333334</v>
      </c>
      <c r="BZ31" s="705">
        <f t="shared" si="18"/>
        <v>215.33333333333334</v>
      </c>
      <c r="CA31" s="705">
        <f t="shared" si="18"/>
        <v>215.33333333333334</v>
      </c>
      <c r="CB31" s="705">
        <f t="shared" si="18"/>
        <v>215.33333333333334</v>
      </c>
      <c r="CC31" s="705">
        <f t="shared" si="18"/>
        <v>215.33333333333334</v>
      </c>
      <c r="CD31" s="705">
        <f t="shared" si="18"/>
        <v>215.33333333333334</v>
      </c>
      <c r="CE31" s="705">
        <f t="shared" si="18"/>
        <v>215.33333333333334</v>
      </c>
      <c r="CF31" s="705">
        <f t="shared" si="18"/>
        <v>215.33333333333334</v>
      </c>
      <c r="CG31" s="705">
        <f t="shared" si="18"/>
        <v>215.33333333333334</v>
      </c>
      <c r="CH31" s="705">
        <f t="shared" si="18"/>
        <v>215.33333333333334</v>
      </c>
      <c r="CI31" s="705">
        <f t="shared" si="18"/>
        <v>215.33333333333334</v>
      </c>
      <c r="CJ31" s="705">
        <f t="shared" si="18"/>
        <v>215.33333333333334</v>
      </c>
      <c r="CK31" s="705">
        <f t="shared" si="18"/>
        <v>215.33333333333334</v>
      </c>
      <c r="CL31" s="707">
        <f t="shared" si="18"/>
        <v>215.33333333333334</v>
      </c>
      <c r="CM31" s="642">
        <f t="shared" si="0"/>
        <v>215.33333333333346</v>
      </c>
      <c r="CN31" s="245"/>
      <c r="CO31" s="245"/>
      <c r="CP31" s="245"/>
      <c r="CQ31" s="245"/>
      <c r="CR31" s="245"/>
      <c r="CS31" s="245"/>
      <c r="CT31" s="245"/>
      <c r="CU31" s="245"/>
      <c r="CV31" s="245"/>
      <c r="CW31" s="245"/>
      <c r="CX31" s="245"/>
      <c r="CY31" s="245"/>
      <c r="CZ31" s="245"/>
      <c r="DA31" s="245"/>
      <c r="DB31" s="245"/>
      <c r="DC31" s="245"/>
      <c r="DD31" s="245"/>
      <c r="DE31" s="245"/>
      <c r="DF31" s="245"/>
      <c r="DG31" s="245"/>
      <c r="DH31" s="245"/>
      <c r="DI31" s="245"/>
      <c r="DJ31" s="245"/>
      <c r="DK31" s="245"/>
      <c r="DL31" s="245"/>
      <c r="DM31" s="245"/>
      <c r="DN31" s="245"/>
      <c r="DO31" s="245"/>
      <c r="DP31" s="245"/>
      <c r="DQ31" s="245"/>
      <c r="DR31" s="245"/>
      <c r="DS31" s="245"/>
      <c r="DT31" s="245"/>
      <c r="DU31" s="245"/>
      <c r="DV31" s="245"/>
      <c r="DW31" s="245"/>
      <c r="DX31" s="245"/>
      <c r="DY31" s="245"/>
      <c r="DZ31" s="245"/>
      <c r="EA31" s="245"/>
      <c r="EB31" s="245"/>
      <c r="EC31" s="245"/>
      <c r="ED31" s="245"/>
      <c r="EE31" s="245"/>
      <c r="EF31" s="245"/>
      <c r="EG31" s="245"/>
      <c r="EH31" s="245"/>
      <c r="EI31" s="245"/>
      <c r="EJ31" s="245"/>
      <c r="EK31" s="245"/>
      <c r="EL31" s="245"/>
      <c r="EM31" s="245"/>
      <c r="EN31" s="245"/>
      <c r="EO31" s="245"/>
      <c r="EP31" s="245"/>
      <c r="EQ31" s="245"/>
      <c r="ER31" s="245"/>
      <c r="ES31" s="245"/>
      <c r="ET31" s="245"/>
      <c r="EU31" s="245"/>
      <c r="EV31" s="245"/>
      <c r="EW31" s="245"/>
      <c r="EX31" s="245"/>
      <c r="EY31" s="245"/>
      <c r="EZ31" s="245"/>
      <c r="FA31" s="245"/>
      <c r="FB31" s="245"/>
      <c r="FC31" s="245"/>
      <c r="FD31" s="245"/>
      <c r="FE31" s="245"/>
      <c r="FF31" s="245"/>
      <c r="FG31" s="245"/>
      <c r="FH31" s="245"/>
      <c r="FI31" s="245"/>
      <c r="FJ31" s="245"/>
      <c r="FK31" s="245"/>
      <c r="FL31" s="245"/>
      <c r="FM31" s="245"/>
      <c r="FN31" s="245"/>
      <c r="FO31" s="245"/>
      <c r="FP31" s="245"/>
      <c r="FQ31" s="245"/>
      <c r="FR31" s="245"/>
      <c r="FS31" s="245"/>
      <c r="FT31" s="245"/>
      <c r="FU31" s="245"/>
      <c r="FV31" s="245"/>
    </row>
    <row r="32" spans="1:178">
      <c r="A32" s="1026"/>
      <c r="B32" s="639" t="s">
        <v>309</v>
      </c>
      <c r="C32" s="640" t="s">
        <v>310</v>
      </c>
      <c r="D32" s="640">
        <v>1.1900000000000001E-2</v>
      </c>
      <c r="E32" s="245"/>
      <c r="F32" s="713" t="s">
        <v>177</v>
      </c>
      <c r="G32" s="706">
        <v>1597.575</v>
      </c>
      <c r="H32" s="706">
        <v>1597.575</v>
      </c>
      <c r="I32" s="706">
        <v>1597.575</v>
      </c>
      <c r="J32" s="706">
        <v>1597.575</v>
      </c>
      <c r="K32" s="706">
        <v>1597.575</v>
      </c>
      <c r="L32" s="706">
        <v>1597.575</v>
      </c>
      <c r="M32" s="706">
        <v>1597.575</v>
      </c>
      <c r="N32" s="706">
        <v>1597.575</v>
      </c>
      <c r="O32" s="706">
        <v>1597.575</v>
      </c>
      <c r="P32" s="706">
        <v>1597.575</v>
      </c>
      <c r="Q32" s="706">
        <v>1597.575</v>
      </c>
      <c r="R32" s="706">
        <v>1597.575</v>
      </c>
      <c r="S32" s="706">
        <v>1597.575</v>
      </c>
      <c r="T32" s="706">
        <f t="shared" ref="T32:AS32" si="19">$D$32*T15</f>
        <v>1597.575</v>
      </c>
      <c r="U32" s="706">
        <f t="shared" si="19"/>
        <v>1597.575</v>
      </c>
      <c r="V32" s="706">
        <f t="shared" si="19"/>
        <v>1597.575</v>
      </c>
      <c r="W32" s="706">
        <f t="shared" si="19"/>
        <v>1597.575</v>
      </c>
      <c r="X32" s="706">
        <f t="shared" si="19"/>
        <v>1597.575</v>
      </c>
      <c r="Y32" s="706">
        <f t="shared" si="19"/>
        <v>1597.575</v>
      </c>
      <c r="Z32" s="706">
        <f t="shared" si="19"/>
        <v>1597.575</v>
      </c>
      <c r="AA32" s="706">
        <f t="shared" si="19"/>
        <v>1597.575</v>
      </c>
      <c r="AB32" s="706">
        <f t="shared" si="19"/>
        <v>1597.575</v>
      </c>
      <c r="AC32" s="706">
        <f t="shared" si="19"/>
        <v>1597.575</v>
      </c>
      <c r="AD32" s="706">
        <f t="shared" si="19"/>
        <v>1597.575</v>
      </c>
      <c r="AE32" s="706">
        <f t="shared" si="19"/>
        <v>1597.575</v>
      </c>
      <c r="AF32" s="706">
        <f t="shared" si="19"/>
        <v>1597.575</v>
      </c>
      <c r="AG32" s="706">
        <f t="shared" si="19"/>
        <v>1597.575</v>
      </c>
      <c r="AH32" s="706">
        <f t="shared" si="19"/>
        <v>1597.575</v>
      </c>
      <c r="AI32" s="706">
        <f t="shared" si="19"/>
        <v>1597.575</v>
      </c>
      <c r="AJ32" s="706">
        <f t="shared" si="19"/>
        <v>1597.575</v>
      </c>
      <c r="AK32" s="706">
        <f t="shared" si="19"/>
        <v>1597.575</v>
      </c>
      <c r="AL32" s="706">
        <f t="shared" si="19"/>
        <v>1597.575</v>
      </c>
      <c r="AM32" s="706">
        <f t="shared" si="19"/>
        <v>1597.575</v>
      </c>
      <c r="AN32" s="706">
        <f t="shared" si="19"/>
        <v>1597.575</v>
      </c>
      <c r="AO32" s="706">
        <f t="shared" si="19"/>
        <v>1597.575</v>
      </c>
      <c r="AP32" s="706">
        <f t="shared" si="19"/>
        <v>1597.575</v>
      </c>
      <c r="AQ32" s="706">
        <f t="shared" si="19"/>
        <v>1597.575</v>
      </c>
      <c r="AR32" s="706">
        <f t="shared" si="19"/>
        <v>1597.575</v>
      </c>
      <c r="AS32" s="706">
        <f t="shared" si="19"/>
        <v>1597.575</v>
      </c>
      <c r="AT32" s="706">
        <f>$D$32*AT15</f>
        <v>1597.575</v>
      </c>
      <c r="AU32" s="705">
        <f t="shared" ref="AU32:CL32" si="20">$D$32*AU15</f>
        <v>1597.575</v>
      </c>
      <c r="AV32" s="705">
        <f t="shared" si="20"/>
        <v>1597.575</v>
      </c>
      <c r="AW32" s="705">
        <f t="shared" si="20"/>
        <v>1597.575</v>
      </c>
      <c r="AX32" s="705">
        <f t="shared" si="20"/>
        <v>1597.575</v>
      </c>
      <c r="AY32" s="705">
        <f t="shared" si="20"/>
        <v>1597.575</v>
      </c>
      <c r="AZ32" s="705">
        <f t="shared" si="20"/>
        <v>1597.575</v>
      </c>
      <c r="BA32" s="705">
        <f t="shared" si="20"/>
        <v>1597.575</v>
      </c>
      <c r="BB32" s="705">
        <f t="shared" si="20"/>
        <v>1597.575</v>
      </c>
      <c r="BC32" s="705">
        <f t="shared" si="20"/>
        <v>1597.575</v>
      </c>
      <c r="BD32" s="705">
        <f t="shared" si="20"/>
        <v>1597.575</v>
      </c>
      <c r="BE32" s="705">
        <f t="shared" si="20"/>
        <v>1597.575</v>
      </c>
      <c r="BF32" s="705">
        <f t="shared" si="20"/>
        <v>1597.575</v>
      </c>
      <c r="BG32" s="705">
        <f t="shared" si="20"/>
        <v>1597.575</v>
      </c>
      <c r="BH32" s="705">
        <f t="shared" si="20"/>
        <v>1597.575</v>
      </c>
      <c r="BI32" s="705">
        <f t="shared" si="20"/>
        <v>1597.575</v>
      </c>
      <c r="BJ32" s="705">
        <f t="shared" si="20"/>
        <v>1597.575</v>
      </c>
      <c r="BK32" s="705">
        <f t="shared" si="20"/>
        <v>1597.575</v>
      </c>
      <c r="BL32" s="705">
        <f t="shared" si="20"/>
        <v>1597.575</v>
      </c>
      <c r="BM32" s="705">
        <f t="shared" si="20"/>
        <v>1597.575</v>
      </c>
      <c r="BN32" s="705">
        <f t="shared" si="20"/>
        <v>1597.575</v>
      </c>
      <c r="BO32" s="705">
        <f t="shared" si="20"/>
        <v>1597.575</v>
      </c>
      <c r="BP32" s="705">
        <f t="shared" si="20"/>
        <v>1597.575</v>
      </c>
      <c r="BQ32" s="705">
        <f t="shared" si="20"/>
        <v>1597.575</v>
      </c>
      <c r="BR32" s="705">
        <f t="shared" si="20"/>
        <v>1597.575</v>
      </c>
      <c r="BS32" s="705">
        <f t="shared" si="20"/>
        <v>1597.575</v>
      </c>
      <c r="BT32" s="705">
        <f t="shared" si="20"/>
        <v>1597.575</v>
      </c>
      <c r="BU32" s="705">
        <f t="shared" si="20"/>
        <v>1597.575</v>
      </c>
      <c r="BV32" s="705">
        <f t="shared" si="20"/>
        <v>1597.575</v>
      </c>
      <c r="BW32" s="705">
        <f t="shared" si="20"/>
        <v>1597.575</v>
      </c>
      <c r="BX32" s="705">
        <f t="shared" si="20"/>
        <v>1597.575</v>
      </c>
      <c r="BY32" s="705">
        <f t="shared" si="20"/>
        <v>1597.575</v>
      </c>
      <c r="BZ32" s="705">
        <f t="shared" si="20"/>
        <v>1597.575</v>
      </c>
      <c r="CA32" s="705">
        <f t="shared" si="20"/>
        <v>1597.575</v>
      </c>
      <c r="CB32" s="705">
        <f t="shared" si="20"/>
        <v>1597.575</v>
      </c>
      <c r="CC32" s="705">
        <f t="shared" si="20"/>
        <v>1597.575</v>
      </c>
      <c r="CD32" s="705">
        <f t="shared" si="20"/>
        <v>1597.575</v>
      </c>
      <c r="CE32" s="705">
        <f t="shared" si="20"/>
        <v>1597.575</v>
      </c>
      <c r="CF32" s="705">
        <f t="shared" si="20"/>
        <v>1597.575</v>
      </c>
      <c r="CG32" s="705">
        <f t="shared" si="20"/>
        <v>1597.575</v>
      </c>
      <c r="CH32" s="705">
        <f t="shared" si="20"/>
        <v>1597.575</v>
      </c>
      <c r="CI32" s="705">
        <f t="shared" si="20"/>
        <v>1597.575</v>
      </c>
      <c r="CJ32" s="705">
        <f t="shared" si="20"/>
        <v>1597.575</v>
      </c>
      <c r="CK32" s="705">
        <f t="shared" si="20"/>
        <v>1597.575</v>
      </c>
      <c r="CL32" s="707">
        <f t="shared" si="20"/>
        <v>1597.575</v>
      </c>
      <c r="CM32" s="642">
        <f t="shared" si="0"/>
        <v>1597.5749999999982</v>
      </c>
      <c r="CN32" s="245"/>
      <c r="CO32" s="245"/>
      <c r="CP32" s="245"/>
      <c r="CQ32" s="245"/>
      <c r="CR32" s="245"/>
      <c r="CS32" s="245"/>
      <c r="CT32" s="245"/>
      <c r="CU32" s="245"/>
      <c r="CV32" s="245"/>
      <c r="CW32" s="245"/>
      <c r="CX32" s="245"/>
      <c r="CY32" s="245"/>
      <c r="CZ32" s="245"/>
      <c r="DA32" s="245"/>
      <c r="DB32" s="245"/>
      <c r="DC32" s="245"/>
      <c r="DD32" s="245"/>
      <c r="DE32" s="245"/>
      <c r="DF32" s="245"/>
      <c r="DG32" s="245"/>
      <c r="DH32" s="245"/>
      <c r="DI32" s="245"/>
      <c r="DJ32" s="245"/>
      <c r="DK32" s="245"/>
      <c r="DL32" s="245"/>
      <c r="DM32" s="245"/>
      <c r="DN32" s="245"/>
      <c r="DO32" s="245"/>
      <c r="DP32" s="245"/>
      <c r="DQ32" s="245"/>
      <c r="DR32" s="245"/>
      <c r="DS32" s="245"/>
      <c r="DT32" s="245"/>
      <c r="DU32" s="245"/>
      <c r="DV32" s="245"/>
      <c r="DW32" s="245"/>
      <c r="DX32" s="245"/>
      <c r="DY32" s="245"/>
      <c r="DZ32" s="245"/>
      <c r="EA32" s="245"/>
      <c r="EB32" s="245"/>
      <c r="EC32" s="245"/>
      <c r="ED32" s="245"/>
      <c r="EE32" s="245"/>
      <c r="EF32" s="245"/>
      <c r="EG32" s="245"/>
      <c r="EH32" s="245"/>
      <c r="EI32" s="245"/>
      <c r="EJ32" s="245"/>
      <c r="EK32" s="245"/>
      <c r="EL32" s="245"/>
      <c r="EM32" s="245"/>
      <c r="EN32" s="245"/>
      <c r="EO32" s="245"/>
      <c r="EP32" s="245"/>
      <c r="EQ32" s="245"/>
      <c r="ER32" s="245"/>
      <c r="ES32" s="245"/>
      <c r="ET32" s="245"/>
      <c r="EU32" s="245"/>
      <c r="EV32" s="245"/>
      <c r="EW32" s="245"/>
      <c r="EX32" s="245"/>
      <c r="EY32" s="245"/>
      <c r="EZ32" s="245"/>
      <c r="FA32" s="245"/>
      <c r="FB32" s="245"/>
      <c r="FC32" s="245"/>
      <c r="FD32" s="245"/>
      <c r="FE32" s="245"/>
      <c r="FF32" s="245"/>
      <c r="FG32" s="245"/>
      <c r="FH32" s="245"/>
      <c r="FI32" s="245"/>
      <c r="FJ32" s="245"/>
      <c r="FK32" s="245"/>
      <c r="FL32" s="245"/>
      <c r="FM32" s="245"/>
      <c r="FN32" s="245"/>
      <c r="FO32" s="245"/>
      <c r="FP32" s="245"/>
      <c r="FQ32" s="245"/>
      <c r="FR32" s="245"/>
      <c r="FS32" s="245"/>
      <c r="FT32" s="245"/>
      <c r="FU32" s="245"/>
      <c r="FV32" s="245"/>
    </row>
    <row r="33" spans="1:179">
      <c r="A33" s="1027"/>
      <c r="B33" s="647" t="s">
        <v>309</v>
      </c>
      <c r="C33" s="648" t="s">
        <v>310</v>
      </c>
      <c r="D33" s="714">
        <f>1.50375/1000</f>
        <v>1.5037499999999999E-3</v>
      </c>
      <c r="E33" s="649"/>
      <c r="F33" s="715" t="s">
        <v>178</v>
      </c>
      <c r="G33" s="716">
        <v>166.44858374999998</v>
      </c>
      <c r="H33" s="716">
        <v>166.44858374999998</v>
      </c>
      <c r="I33" s="716">
        <v>166.44858374999998</v>
      </c>
      <c r="J33" s="716">
        <v>166.44858374999998</v>
      </c>
      <c r="K33" s="716">
        <v>166.44858374999998</v>
      </c>
      <c r="L33" s="716">
        <v>166.44858374999998</v>
      </c>
      <c r="M33" s="716">
        <v>166.44858374999998</v>
      </c>
      <c r="N33" s="716">
        <v>166.44858374999998</v>
      </c>
      <c r="O33" s="716">
        <v>166.44858374999998</v>
      </c>
      <c r="P33" s="716">
        <v>166.44858374999998</v>
      </c>
      <c r="Q33" s="716">
        <v>166.44858374999998</v>
      </c>
      <c r="R33" s="716">
        <v>166.44858374999998</v>
      </c>
      <c r="S33" s="716">
        <v>166.44858374999998</v>
      </c>
      <c r="T33" s="716">
        <f t="shared" ref="T33:AS33" si="21">T16*$D$33</f>
        <v>166.44858374999998</v>
      </c>
      <c r="U33" s="716">
        <f t="shared" si="21"/>
        <v>166.44858374999998</v>
      </c>
      <c r="V33" s="716">
        <f t="shared" si="21"/>
        <v>166.44858374999998</v>
      </c>
      <c r="W33" s="716">
        <f t="shared" si="21"/>
        <v>166.44858374999998</v>
      </c>
      <c r="X33" s="716">
        <f t="shared" si="21"/>
        <v>166.44858374999998</v>
      </c>
      <c r="Y33" s="716">
        <f t="shared" si="21"/>
        <v>166.44858374999998</v>
      </c>
      <c r="Z33" s="716">
        <f t="shared" si="21"/>
        <v>166.44858374999998</v>
      </c>
      <c r="AA33" s="716">
        <f t="shared" si="21"/>
        <v>166.44858374999998</v>
      </c>
      <c r="AB33" s="716">
        <f t="shared" si="21"/>
        <v>166.44858374999998</v>
      </c>
      <c r="AC33" s="716">
        <f t="shared" si="21"/>
        <v>166.44858374999998</v>
      </c>
      <c r="AD33" s="716">
        <f t="shared" si="21"/>
        <v>166.44858374999998</v>
      </c>
      <c r="AE33" s="716">
        <f t="shared" si="21"/>
        <v>166.44858374999998</v>
      </c>
      <c r="AF33" s="716">
        <f t="shared" si="21"/>
        <v>166.44858374999998</v>
      </c>
      <c r="AG33" s="716">
        <f t="shared" si="21"/>
        <v>166.44858374999998</v>
      </c>
      <c r="AH33" s="716">
        <f t="shared" si="21"/>
        <v>166.44858374999998</v>
      </c>
      <c r="AI33" s="716">
        <f t="shared" si="21"/>
        <v>166.44858374999998</v>
      </c>
      <c r="AJ33" s="716">
        <f t="shared" si="21"/>
        <v>166.44858374999998</v>
      </c>
      <c r="AK33" s="716">
        <f t="shared" si="21"/>
        <v>166.44858374999998</v>
      </c>
      <c r="AL33" s="716">
        <f t="shared" si="21"/>
        <v>166.44858374999998</v>
      </c>
      <c r="AM33" s="716">
        <f t="shared" si="21"/>
        <v>166.44858374999998</v>
      </c>
      <c r="AN33" s="716">
        <f t="shared" si="21"/>
        <v>166.44858374999998</v>
      </c>
      <c r="AO33" s="716">
        <f t="shared" si="21"/>
        <v>166.44858374999998</v>
      </c>
      <c r="AP33" s="716">
        <f t="shared" si="21"/>
        <v>166.44858374999998</v>
      </c>
      <c r="AQ33" s="716">
        <f t="shared" si="21"/>
        <v>166.44858374999998</v>
      </c>
      <c r="AR33" s="716">
        <f t="shared" si="21"/>
        <v>166.44858374999998</v>
      </c>
      <c r="AS33" s="716">
        <f t="shared" si="21"/>
        <v>166.44858374999998</v>
      </c>
      <c r="AT33" s="716">
        <f>AT16*$D$33</f>
        <v>166.44858374999998</v>
      </c>
      <c r="AU33" s="717">
        <f t="shared" ref="AU33:CL33" si="22">AU16*$D$33</f>
        <v>166.44858374999998</v>
      </c>
      <c r="AV33" s="717">
        <f t="shared" si="22"/>
        <v>166.44858374999998</v>
      </c>
      <c r="AW33" s="717">
        <f t="shared" si="22"/>
        <v>166.44858374999998</v>
      </c>
      <c r="AX33" s="717">
        <f t="shared" si="22"/>
        <v>166.44858374999998</v>
      </c>
      <c r="AY33" s="717">
        <f t="shared" si="22"/>
        <v>166.44858374999998</v>
      </c>
      <c r="AZ33" s="717">
        <f t="shared" si="22"/>
        <v>166.44858374999998</v>
      </c>
      <c r="BA33" s="717">
        <f t="shared" si="22"/>
        <v>166.44858374999998</v>
      </c>
      <c r="BB33" s="717">
        <f t="shared" si="22"/>
        <v>166.44858374999998</v>
      </c>
      <c r="BC33" s="717">
        <f t="shared" si="22"/>
        <v>166.44858374999998</v>
      </c>
      <c r="BD33" s="717">
        <f t="shared" si="22"/>
        <v>166.44858374999998</v>
      </c>
      <c r="BE33" s="717">
        <f t="shared" si="22"/>
        <v>166.44858374999998</v>
      </c>
      <c r="BF33" s="717">
        <f t="shared" si="22"/>
        <v>166.44858374999998</v>
      </c>
      <c r="BG33" s="717">
        <f t="shared" si="22"/>
        <v>166.44858374999998</v>
      </c>
      <c r="BH33" s="717">
        <f t="shared" si="22"/>
        <v>166.44858374999998</v>
      </c>
      <c r="BI33" s="717">
        <f t="shared" si="22"/>
        <v>166.44858374999998</v>
      </c>
      <c r="BJ33" s="717">
        <f t="shared" si="22"/>
        <v>166.44858374999998</v>
      </c>
      <c r="BK33" s="717">
        <f t="shared" si="22"/>
        <v>166.44858374999998</v>
      </c>
      <c r="BL33" s="717">
        <f t="shared" si="22"/>
        <v>166.44858374999998</v>
      </c>
      <c r="BM33" s="717">
        <f t="shared" si="22"/>
        <v>166.44858374999998</v>
      </c>
      <c r="BN33" s="717">
        <f t="shared" si="22"/>
        <v>166.44858374999998</v>
      </c>
      <c r="BO33" s="717">
        <f t="shared" si="22"/>
        <v>166.44858374999998</v>
      </c>
      <c r="BP33" s="717">
        <f t="shared" si="22"/>
        <v>166.44858374999998</v>
      </c>
      <c r="BQ33" s="717">
        <f t="shared" si="22"/>
        <v>166.44858374999998</v>
      </c>
      <c r="BR33" s="717">
        <f t="shared" si="22"/>
        <v>166.44858374999998</v>
      </c>
      <c r="BS33" s="717">
        <f t="shared" si="22"/>
        <v>166.44858374999998</v>
      </c>
      <c r="BT33" s="717">
        <f t="shared" si="22"/>
        <v>166.44858374999998</v>
      </c>
      <c r="BU33" s="717">
        <f t="shared" si="22"/>
        <v>166.44858374999998</v>
      </c>
      <c r="BV33" s="717">
        <f t="shared" si="22"/>
        <v>166.44858374999998</v>
      </c>
      <c r="BW33" s="717">
        <f t="shared" si="22"/>
        <v>166.44858374999998</v>
      </c>
      <c r="BX33" s="717">
        <f t="shared" si="22"/>
        <v>166.44858374999998</v>
      </c>
      <c r="BY33" s="717">
        <f t="shared" si="22"/>
        <v>166.44858374999998</v>
      </c>
      <c r="BZ33" s="717">
        <f t="shared" si="22"/>
        <v>166.44858374999998</v>
      </c>
      <c r="CA33" s="717">
        <f t="shared" si="22"/>
        <v>166.44858374999998</v>
      </c>
      <c r="CB33" s="717">
        <f t="shared" si="22"/>
        <v>166.44858374999998</v>
      </c>
      <c r="CC33" s="717">
        <f t="shared" si="22"/>
        <v>166.44858374999998</v>
      </c>
      <c r="CD33" s="717">
        <f t="shared" si="22"/>
        <v>166.44858374999998</v>
      </c>
      <c r="CE33" s="717">
        <f t="shared" si="22"/>
        <v>166.44858374999998</v>
      </c>
      <c r="CF33" s="717">
        <f t="shared" si="22"/>
        <v>166.44858374999998</v>
      </c>
      <c r="CG33" s="717">
        <f t="shared" si="22"/>
        <v>166.44858374999998</v>
      </c>
      <c r="CH33" s="717">
        <f t="shared" si="22"/>
        <v>166.44858374999998</v>
      </c>
      <c r="CI33" s="717">
        <f t="shared" si="22"/>
        <v>166.44858374999998</v>
      </c>
      <c r="CJ33" s="717">
        <f t="shared" si="22"/>
        <v>166.44858374999998</v>
      </c>
      <c r="CK33" s="717">
        <f t="shared" si="22"/>
        <v>166.44858374999998</v>
      </c>
      <c r="CL33" s="718">
        <f t="shared" si="22"/>
        <v>166.44858374999998</v>
      </c>
      <c r="CM33" s="642">
        <f t="shared" si="0"/>
        <v>166.44858374999978</v>
      </c>
      <c r="CN33" s="634"/>
      <c r="CO33" s="719">
        <v>41883</v>
      </c>
      <c r="CP33" s="719">
        <v>41913</v>
      </c>
      <c r="CQ33" s="719">
        <v>41944</v>
      </c>
      <c r="CR33" s="719">
        <v>41974</v>
      </c>
      <c r="CS33" s="719">
        <v>42005</v>
      </c>
      <c r="CT33" s="719">
        <v>42036</v>
      </c>
      <c r="CU33" s="719">
        <v>42064</v>
      </c>
      <c r="CV33" s="719">
        <v>42095</v>
      </c>
      <c r="CW33" s="719">
        <v>42125</v>
      </c>
      <c r="CX33" s="719">
        <v>42156</v>
      </c>
      <c r="CY33" s="719">
        <v>42186</v>
      </c>
      <c r="CZ33" s="719">
        <v>42217</v>
      </c>
      <c r="DA33" s="719">
        <v>42248</v>
      </c>
      <c r="DB33" s="719">
        <v>42278</v>
      </c>
      <c r="DC33" s="719">
        <v>42309</v>
      </c>
      <c r="DD33" s="719">
        <v>42339</v>
      </c>
      <c r="DE33" s="719">
        <v>42370</v>
      </c>
      <c r="DF33" s="719">
        <v>42401</v>
      </c>
      <c r="DG33" s="719">
        <v>42430</v>
      </c>
      <c r="DH33" s="719">
        <v>42461</v>
      </c>
      <c r="DI33" s="719">
        <v>42491</v>
      </c>
      <c r="DJ33" s="719">
        <v>42522</v>
      </c>
      <c r="DK33" s="719">
        <v>42552</v>
      </c>
      <c r="DL33" s="719">
        <v>42583</v>
      </c>
      <c r="DM33" s="719">
        <v>42614</v>
      </c>
      <c r="DN33" s="719">
        <v>42644</v>
      </c>
      <c r="DO33" s="719">
        <v>42675</v>
      </c>
      <c r="DP33" s="719">
        <v>42705</v>
      </c>
      <c r="DQ33" s="719">
        <v>42736</v>
      </c>
      <c r="DR33" s="719">
        <v>42767</v>
      </c>
      <c r="DS33" s="719">
        <v>42795</v>
      </c>
      <c r="DT33" s="719">
        <v>42826</v>
      </c>
      <c r="DU33" s="719">
        <v>42856</v>
      </c>
      <c r="DV33" s="719">
        <v>42887</v>
      </c>
      <c r="DW33" s="719">
        <v>42917</v>
      </c>
      <c r="DX33" s="719">
        <v>42948</v>
      </c>
      <c r="DY33" s="719">
        <v>42979</v>
      </c>
      <c r="DZ33" s="719">
        <v>43009</v>
      </c>
      <c r="EA33" s="719">
        <v>43040</v>
      </c>
      <c r="EB33" s="719">
        <v>43070</v>
      </c>
      <c r="EC33" s="719">
        <v>43101</v>
      </c>
      <c r="ED33" s="719">
        <v>43132</v>
      </c>
      <c r="EE33" s="719">
        <v>43160</v>
      </c>
      <c r="EF33" s="719">
        <v>43191</v>
      </c>
      <c r="EG33" s="719">
        <v>43221</v>
      </c>
      <c r="EH33" s="719">
        <v>43252</v>
      </c>
      <c r="EI33" s="719">
        <v>43282</v>
      </c>
      <c r="EJ33" s="719">
        <v>43313</v>
      </c>
      <c r="EK33" s="719">
        <v>43344</v>
      </c>
      <c r="EL33" s="719">
        <v>43374</v>
      </c>
      <c r="EM33" s="719">
        <v>43405</v>
      </c>
      <c r="EN33" s="719">
        <v>43435</v>
      </c>
      <c r="EO33" s="719">
        <v>43466</v>
      </c>
      <c r="EP33" s="719">
        <v>43497</v>
      </c>
      <c r="EQ33" s="719">
        <v>43525</v>
      </c>
      <c r="ER33" s="719">
        <v>43556</v>
      </c>
      <c r="ES33" s="719">
        <v>43586</v>
      </c>
      <c r="ET33" s="719">
        <v>43617</v>
      </c>
      <c r="EU33" s="719">
        <v>43647</v>
      </c>
      <c r="EV33" s="719">
        <v>43678</v>
      </c>
      <c r="EW33" s="719">
        <v>43709</v>
      </c>
      <c r="EX33" s="719">
        <v>43739</v>
      </c>
      <c r="EY33" s="719">
        <v>43770</v>
      </c>
      <c r="EZ33" s="719">
        <v>43800</v>
      </c>
      <c r="FA33" s="719">
        <v>43831</v>
      </c>
      <c r="FB33" s="719">
        <v>43862</v>
      </c>
      <c r="FC33" s="719">
        <v>43891</v>
      </c>
      <c r="FD33" s="719">
        <v>43922</v>
      </c>
      <c r="FE33" s="719">
        <v>43952</v>
      </c>
      <c r="FF33" s="719">
        <v>43983</v>
      </c>
      <c r="FG33" s="719">
        <v>44013</v>
      </c>
      <c r="FH33" s="719">
        <v>44044</v>
      </c>
      <c r="FI33" s="719">
        <v>44075</v>
      </c>
      <c r="FJ33" s="719">
        <v>44105</v>
      </c>
      <c r="FK33" s="719">
        <v>44136</v>
      </c>
      <c r="FL33" s="719">
        <v>44166</v>
      </c>
      <c r="FM33" s="719">
        <v>44197</v>
      </c>
      <c r="FN33" s="719">
        <v>44228</v>
      </c>
      <c r="FO33" s="719">
        <v>44256</v>
      </c>
      <c r="FP33" s="719">
        <v>44287</v>
      </c>
      <c r="FQ33" s="719">
        <v>44317</v>
      </c>
      <c r="FR33" s="719">
        <v>44348</v>
      </c>
      <c r="FS33" s="719">
        <v>44378</v>
      </c>
      <c r="FT33" s="719">
        <v>44409</v>
      </c>
      <c r="FU33" s="719">
        <v>44440</v>
      </c>
      <c r="FV33" s="653"/>
    </row>
    <row r="34" spans="1:179" ht="15" customHeight="1">
      <c r="A34" s="1028" t="s">
        <v>106</v>
      </c>
      <c r="B34" s="686" t="s">
        <v>305</v>
      </c>
      <c r="C34" s="687" t="s">
        <v>310</v>
      </c>
      <c r="D34" s="687">
        <v>1.61</v>
      </c>
      <c r="E34" s="1030" t="s">
        <v>313</v>
      </c>
      <c r="F34" s="720" t="s">
        <v>141</v>
      </c>
      <c r="G34" s="683">
        <f t="shared" ref="G34:R34" si="23">$D$34*G16</f>
        <v>178209.29</v>
      </c>
      <c r="H34" s="683">
        <f t="shared" si="23"/>
        <v>178209.29</v>
      </c>
      <c r="I34" s="683">
        <f t="shared" si="23"/>
        <v>178209.29</v>
      </c>
      <c r="J34" s="683">
        <f t="shared" si="23"/>
        <v>178209.29</v>
      </c>
      <c r="K34" s="683">
        <f t="shared" si="23"/>
        <v>178209.29</v>
      </c>
      <c r="L34" s="683">
        <f t="shared" si="23"/>
        <v>178209.29</v>
      </c>
      <c r="M34" s="683">
        <f t="shared" si="23"/>
        <v>178209.29</v>
      </c>
      <c r="N34" s="683">
        <f t="shared" si="23"/>
        <v>178209.29</v>
      </c>
      <c r="O34" s="683">
        <f t="shared" si="23"/>
        <v>178209.29</v>
      </c>
      <c r="P34" s="683">
        <f t="shared" si="23"/>
        <v>178209.29</v>
      </c>
      <c r="Q34" s="683">
        <f t="shared" si="23"/>
        <v>178209.29</v>
      </c>
      <c r="R34" s="683">
        <f t="shared" si="23"/>
        <v>178209.29</v>
      </c>
      <c r="S34" s="683">
        <f>$D$34*S16</f>
        <v>178209.29</v>
      </c>
      <c r="T34" s="683">
        <f t="shared" ref="T34:CE34" si="24">$D$34*T16</f>
        <v>178209.29</v>
      </c>
      <c r="U34" s="683">
        <f t="shared" si="24"/>
        <v>178209.29</v>
      </c>
      <c r="V34" s="683">
        <f t="shared" si="24"/>
        <v>178209.29</v>
      </c>
      <c r="W34" s="683">
        <f t="shared" si="24"/>
        <v>178209.29</v>
      </c>
      <c r="X34" s="683">
        <f t="shared" si="24"/>
        <v>178209.29</v>
      </c>
      <c r="Y34" s="683">
        <f t="shared" si="24"/>
        <v>178209.29</v>
      </c>
      <c r="Z34" s="683">
        <f t="shared" si="24"/>
        <v>178209.29</v>
      </c>
      <c r="AA34" s="683">
        <f t="shared" si="24"/>
        <v>178209.29</v>
      </c>
      <c r="AB34" s="683">
        <f t="shared" si="24"/>
        <v>178209.29</v>
      </c>
      <c r="AC34" s="683">
        <f t="shared" si="24"/>
        <v>178209.29</v>
      </c>
      <c r="AD34" s="683">
        <f t="shared" si="24"/>
        <v>178209.29</v>
      </c>
      <c r="AE34" s="683">
        <f t="shared" si="24"/>
        <v>178209.29</v>
      </c>
      <c r="AF34" s="683">
        <f t="shared" si="24"/>
        <v>178209.29</v>
      </c>
      <c r="AG34" s="683">
        <f t="shared" si="24"/>
        <v>178209.29</v>
      </c>
      <c r="AH34" s="683">
        <f t="shared" si="24"/>
        <v>178209.29</v>
      </c>
      <c r="AI34" s="683">
        <f t="shared" si="24"/>
        <v>178209.29</v>
      </c>
      <c r="AJ34" s="683">
        <f t="shared" si="24"/>
        <v>178209.29</v>
      </c>
      <c r="AK34" s="683">
        <f t="shared" si="24"/>
        <v>178209.29</v>
      </c>
      <c r="AL34" s="683">
        <f t="shared" si="24"/>
        <v>178209.29</v>
      </c>
      <c r="AM34" s="683">
        <f t="shared" si="24"/>
        <v>178209.29</v>
      </c>
      <c r="AN34" s="683">
        <f t="shared" si="24"/>
        <v>178209.29</v>
      </c>
      <c r="AO34" s="683">
        <f t="shared" si="24"/>
        <v>178209.29</v>
      </c>
      <c r="AP34" s="683">
        <f t="shared" si="24"/>
        <v>178209.29</v>
      </c>
      <c r="AQ34" s="683">
        <f t="shared" si="24"/>
        <v>178209.29</v>
      </c>
      <c r="AR34" s="683">
        <f t="shared" si="24"/>
        <v>178209.29</v>
      </c>
      <c r="AS34" s="683">
        <f t="shared" si="24"/>
        <v>178209.29</v>
      </c>
      <c r="AT34" s="683">
        <f t="shared" si="24"/>
        <v>178209.29</v>
      </c>
      <c r="AU34" s="721">
        <f t="shared" si="24"/>
        <v>178209.29</v>
      </c>
      <c r="AV34" s="721">
        <f t="shared" si="24"/>
        <v>178209.29</v>
      </c>
      <c r="AW34" s="721">
        <f t="shared" si="24"/>
        <v>178209.29</v>
      </c>
      <c r="AX34" s="721">
        <f t="shared" si="24"/>
        <v>178209.29</v>
      </c>
      <c r="AY34" s="721">
        <f t="shared" si="24"/>
        <v>178209.29</v>
      </c>
      <c r="AZ34" s="721">
        <f t="shared" si="24"/>
        <v>178209.29</v>
      </c>
      <c r="BA34" s="721">
        <f t="shared" si="24"/>
        <v>178209.29</v>
      </c>
      <c r="BB34" s="721">
        <f t="shared" si="24"/>
        <v>178209.29</v>
      </c>
      <c r="BC34" s="721">
        <f t="shared" si="24"/>
        <v>178209.29</v>
      </c>
      <c r="BD34" s="721">
        <f t="shared" si="24"/>
        <v>178209.29</v>
      </c>
      <c r="BE34" s="721">
        <f t="shared" si="24"/>
        <v>178209.29</v>
      </c>
      <c r="BF34" s="721">
        <f t="shared" si="24"/>
        <v>178209.29</v>
      </c>
      <c r="BG34" s="721">
        <f t="shared" si="24"/>
        <v>178209.29</v>
      </c>
      <c r="BH34" s="721">
        <f t="shared" si="24"/>
        <v>178209.29</v>
      </c>
      <c r="BI34" s="721">
        <f t="shared" si="24"/>
        <v>178209.29</v>
      </c>
      <c r="BJ34" s="721">
        <f t="shared" si="24"/>
        <v>178209.29</v>
      </c>
      <c r="BK34" s="721">
        <f t="shared" si="24"/>
        <v>178209.29</v>
      </c>
      <c r="BL34" s="721">
        <f t="shared" si="24"/>
        <v>178209.29</v>
      </c>
      <c r="BM34" s="721">
        <f t="shared" si="24"/>
        <v>178209.29</v>
      </c>
      <c r="BN34" s="721">
        <f t="shared" si="24"/>
        <v>178209.29</v>
      </c>
      <c r="BO34" s="721">
        <f t="shared" si="24"/>
        <v>178209.29</v>
      </c>
      <c r="BP34" s="721">
        <f t="shared" si="24"/>
        <v>178209.29</v>
      </c>
      <c r="BQ34" s="721">
        <f t="shared" si="24"/>
        <v>178209.29</v>
      </c>
      <c r="BR34" s="721">
        <f t="shared" si="24"/>
        <v>178209.29</v>
      </c>
      <c r="BS34" s="721">
        <f t="shared" si="24"/>
        <v>178209.29</v>
      </c>
      <c r="BT34" s="721">
        <f t="shared" si="24"/>
        <v>178209.29</v>
      </c>
      <c r="BU34" s="721">
        <f t="shared" si="24"/>
        <v>178209.29</v>
      </c>
      <c r="BV34" s="721">
        <f t="shared" si="24"/>
        <v>178209.29</v>
      </c>
      <c r="BW34" s="721">
        <f t="shared" si="24"/>
        <v>178209.29</v>
      </c>
      <c r="BX34" s="721">
        <f t="shared" si="24"/>
        <v>178209.29</v>
      </c>
      <c r="BY34" s="721">
        <f t="shared" si="24"/>
        <v>178209.29</v>
      </c>
      <c r="BZ34" s="721">
        <f t="shared" si="24"/>
        <v>178209.29</v>
      </c>
      <c r="CA34" s="721">
        <f t="shared" si="24"/>
        <v>178209.29</v>
      </c>
      <c r="CB34" s="721">
        <f t="shared" si="24"/>
        <v>178209.29</v>
      </c>
      <c r="CC34" s="721">
        <f t="shared" si="24"/>
        <v>178209.29</v>
      </c>
      <c r="CD34" s="721">
        <f t="shared" si="24"/>
        <v>178209.29</v>
      </c>
      <c r="CE34" s="721">
        <f t="shared" si="24"/>
        <v>178209.29</v>
      </c>
      <c r="CF34" s="721">
        <f t="shared" ref="CF34:CL34" si="25">$D$34*CF16</f>
        <v>178209.29</v>
      </c>
      <c r="CG34" s="721">
        <f t="shared" si="25"/>
        <v>178209.29</v>
      </c>
      <c r="CH34" s="721">
        <f t="shared" si="25"/>
        <v>178209.29</v>
      </c>
      <c r="CI34" s="721">
        <f t="shared" si="25"/>
        <v>178209.29</v>
      </c>
      <c r="CJ34" s="721">
        <f t="shared" si="25"/>
        <v>178209.29</v>
      </c>
      <c r="CK34" s="721">
        <f t="shared" si="25"/>
        <v>178209.29</v>
      </c>
      <c r="CL34" s="720">
        <f t="shared" si="25"/>
        <v>178209.29</v>
      </c>
      <c r="CM34" s="722">
        <f t="shared" si="0"/>
        <v>178209.28999999963</v>
      </c>
      <c r="CN34" s="723" t="s">
        <v>316</v>
      </c>
      <c r="CO34" s="723">
        <v>6.12</v>
      </c>
      <c r="CP34" s="723">
        <v>6.12</v>
      </c>
      <c r="CQ34" s="723">
        <v>6.12</v>
      </c>
      <c r="CR34" s="723">
        <v>6.12</v>
      </c>
      <c r="CS34" s="723">
        <v>6.24</v>
      </c>
      <c r="CT34" s="723">
        <v>6.24</v>
      </c>
      <c r="CU34" s="723">
        <v>6.28</v>
      </c>
      <c r="CV34" s="723">
        <v>6.28</v>
      </c>
      <c r="CW34" s="723">
        <v>6.32</v>
      </c>
      <c r="CX34" s="723">
        <v>6.32</v>
      </c>
      <c r="CY34" s="723">
        <v>6.47</v>
      </c>
      <c r="CZ34" s="723">
        <v>6.47</v>
      </c>
      <c r="DA34" s="723">
        <v>6.47</v>
      </c>
      <c r="DB34" s="723">
        <v>6.51</v>
      </c>
      <c r="DC34" s="723">
        <v>6.6447253073219397</v>
      </c>
      <c r="DD34" s="723">
        <v>6.6592391374311397</v>
      </c>
      <c r="DE34" s="723">
        <v>6.6737529675403398</v>
      </c>
      <c r="DF34" s="723">
        <v>6.6882667976495496</v>
      </c>
      <c r="DG34" s="723">
        <v>6.7027806277587496</v>
      </c>
      <c r="DH34" s="723">
        <v>6.7172944578679497</v>
      </c>
      <c r="DI34" s="723">
        <v>6.7318082879771604</v>
      </c>
      <c r="DJ34" s="723">
        <v>6.7463221180863604</v>
      </c>
      <c r="DK34" s="723">
        <v>6.7608359481955604</v>
      </c>
      <c r="DL34" s="723">
        <v>6.7753497783047703</v>
      </c>
      <c r="DM34" s="723">
        <v>6.7898636084139703</v>
      </c>
      <c r="DN34" s="723">
        <v>6.91</v>
      </c>
      <c r="DO34" s="723">
        <v>6.8188912686323802</v>
      </c>
      <c r="DP34" s="723">
        <v>6.86</v>
      </c>
      <c r="DQ34" s="723">
        <v>6.8479189288507802</v>
      </c>
      <c r="DR34" s="723">
        <v>6.8624327589599803</v>
      </c>
      <c r="DS34" s="723">
        <v>6.8769465890691901</v>
      </c>
      <c r="DT34" s="723">
        <v>6.8914604191783901</v>
      </c>
      <c r="DU34" s="723">
        <v>6.9059742492875902</v>
      </c>
      <c r="DV34" s="723">
        <v>6.9204880793968</v>
      </c>
      <c r="DW34" s="723">
        <v>6.935001909506</v>
      </c>
      <c r="DX34" s="723">
        <v>6.9495157396152001</v>
      </c>
      <c r="DY34" s="723">
        <v>6.9640295697244099</v>
      </c>
      <c r="DZ34" s="723">
        <v>6.9785433998336099</v>
      </c>
      <c r="EA34" s="723">
        <v>6.99305722994281</v>
      </c>
      <c r="EB34" s="723">
        <v>7.0075710600520198</v>
      </c>
      <c r="EC34" s="723">
        <v>5.2450000000000001</v>
      </c>
      <c r="ED34" s="723">
        <v>7.48</v>
      </c>
      <c r="EE34" s="723">
        <v>7.6002255138846202</v>
      </c>
      <c r="EF34" s="723">
        <v>6.65</v>
      </c>
      <c r="EG34" s="723">
        <v>6.77</v>
      </c>
      <c r="EH34" s="723">
        <v>6.83</v>
      </c>
      <c r="EI34" s="723">
        <v>8.23</v>
      </c>
      <c r="EJ34" s="723">
        <v>8.2200000000000006</v>
      </c>
      <c r="EK34" s="723">
        <v>7.32</v>
      </c>
      <c r="EL34" s="723">
        <v>8.18</v>
      </c>
      <c r="EM34" s="723">
        <v>7.53</v>
      </c>
      <c r="EN34" s="723">
        <v>7.13</v>
      </c>
      <c r="EO34" s="723">
        <v>6.42</v>
      </c>
      <c r="EP34" s="723">
        <v>7.18</v>
      </c>
      <c r="EQ34" s="723">
        <v>6.07</v>
      </c>
      <c r="ER34" s="723">
        <v>4.8415999999999997</v>
      </c>
      <c r="ES34" s="723">
        <v>4.8899999999999997</v>
      </c>
      <c r="ET34" s="723">
        <v>5.4</v>
      </c>
      <c r="EU34" s="723">
        <v>5.84</v>
      </c>
      <c r="EV34" s="723">
        <v>5.76</v>
      </c>
      <c r="EW34" s="723">
        <v>5.46</v>
      </c>
      <c r="EX34" s="723">
        <v>6.36</v>
      </c>
      <c r="EY34" s="723">
        <v>6.17</v>
      </c>
      <c r="EZ34" s="723">
        <v>6.84</v>
      </c>
      <c r="FA34" s="723">
        <v>5.67</v>
      </c>
      <c r="FB34" s="723">
        <v>5.33</v>
      </c>
      <c r="FC34" s="723">
        <v>3.69</v>
      </c>
      <c r="FD34" s="723">
        <v>4.9800000000000004</v>
      </c>
      <c r="FE34" s="723">
        <v>4.4800000000000004</v>
      </c>
      <c r="FF34" s="723">
        <v>3</v>
      </c>
      <c r="FG34" s="723">
        <v>2.6</v>
      </c>
      <c r="FH34" s="723">
        <v>3.43</v>
      </c>
      <c r="FI34" s="723">
        <v>4.3499999999999996</v>
      </c>
      <c r="FJ34" s="723">
        <v>4.68</v>
      </c>
      <c r="FK34" s="723">
        <v>5.0999999999999996</v>
      </c>
      <c r="FL34" s="723">
        <v>6.03</v>
      </c>
      <c r="FM34" s="723">
        <v>6.67</v>
      </c>
      <c r="FN34" s="723">
        <v>8.02</v>
      </c>
      <c r="FO34" s="723">
        <v>7.23</v>
      </c>
      <c r="FP34" s="723">
        <v>5.36</v>
      </c>
      <c r="FQ34" s="723">
        <v>5.15</v>
      </c>
      <c r="FR34" s="723">
        <v>5.64</v>
      </c>
      <c r="FS34" s="723">
        <v>6.42</v>
      </c>
      <c r="FT34" s="723">
        <v>7.17</v>
      </c>
      <c r="FU34" s="723">
        <v>7.47</v>
      </c>
      <c r="FV34" s="724">
        <f t="shared" ref="FV34:FV41" si="26">AVERAGE(EC34:FU34)</f>
        <v>6.0197072336418813</v>
      </c>
      <c r="FW34" s="312"/>
    </row>
    <row r="35" spans="1:179">
      <c r="A35" s="1029"/>
      <c r="B35" s="686" t="s">
        <v>305</v>
      </c>
      <c r="C35" s="687" t="s">
        <v>310</v>
      </c>
      <c r="D35" s="687">
        <v>514.32000000000005</v>
      </c>
      <c r="E35" s="1030"/>
      <c r="F35" s="720" t="s">
        <v>132</v>
      </c>
      <c r="G35" s="683">
        <f t="shared" ref="G35:BR35" si="27">$D$35*G16</f>
        <v>56929566.480000004</v>
      </c>
      <c r="H35" s="683">
        <f t="shared" si="27"/>
        <v>56929566.480000004</v>
      </c>
      <c r="I35" s="683">
        <f t="shared" si="27"/>
        <v>56929566.480000004</v>
      </c>
      <c r="J35" s="683">
        <f t="shared" si="27"/>
        <v>56929566.480000004</v>
      </c>
      <c r="K35" s="683">
        <f t="shared" si="27"/>
        <v>56929566.480000004</v>
      </c>
      <c r="L35" s="683">
        <f t="shared" si="27"/>
        <v>56929566.480000004</v>
      </c>
      <c r="M35" s="683">
        <f t="shared" si="27"/>
        <v>56929566.480000004</v>
      </c>
      <c r="N35" s="683">
        <f t="shared" si="27"/>
        <v>56929566.480000004</v>
      </c>
      <c r="O35" s="683">
        <f t="shared" si="27"/>
        <v>56929566.480000004</v>
      </c>
      <c r="P35" s="683">
        <f t="shared" si="27"/>
        <v>56929566.480000004</v>
      </c>
      <c r="Q35" s="683">
        <f t="shared" si="27"/>
        <v>56929566.480000004</v>
      </c>
      <c r="R35" s="683">
        <f t="shared" si="27"/>
        <v>56929566.480000004</v>
      </c>
      <c r="S35" s="683">
        <f t="shared" si="27"/>
        <v>56929566.480000004</v>
      </c>
      <c r="T35" s="683">
        <f t="shared" si="27"/>
        <v>56929566.480000004</v>
      </c>
      <c r="U35" s="683">
        <f t="shared" si="27"/>
        <v>56929566.480000004</v>
      </c>
      <c r="V35" s="683">
        <f t="shared" si="27"/>
        <v>56929566.480000004</v>
      </c>
      <c r="W35" s="683">
        <f t="shared" si="27"/>
        <v>56929566.480000004</v>
      </c>
      <c r="X35" s="683">
        <f t="shared" si="27"/>
        <v>56929566.480000004</v>
      </c>
      <c r="Y35" s="683">
        <f t="shared" si="27"/>
        <v>56929566.480000004</v>
      </c>
      <c r="Z35" s="683">
        <f t="shared" si="27"/>
        <v>56929566.480000004</v>
      </c>
      <c r="AA35" s="683">
        <f t="shared" si="27"/>
        <v>56929566.480000004</v>
      </c>
      <c r="AB35" s="683">
        <f t="shared" si="27"/>
        <v>56929566.480000004</v>
      </c>
      <c r="AC35" s="683">
        <f t="shared" si="27"/>
        <v>56929566.480000004</v>
      </c>
      <c r="AD35" s="683">
        <f t="shared" si="27"/>
        <v>56929566.480000004</v>
      </c>
      <c r="AE35" s="683">
        <f t="shared" si="27"/>
        <v>56929566.480000004</v>
      </c>
      <c r="AF35" s="683">
        <f t="shared" si="27"/>
        <v>56929566.480000004</v>
      </c>
      <c r="AG35" s="683">
        <f t="shared" si="27"/>
        <v>56929566.480000004</v>
      </c>
      <c r="AH35" s="683">
        <f t="shared" si="27"/>
        <v>56929566.480000004</v>
      </c>
      <c r="AI35" s="683">
        <f t="shared" si="27"/>
        <v>56929566.480000004</v>
      </c>
      <c r="AJ35" s="683">
        <f t="shared" si="27"/>
        <v>56929566.480000004</v>
      </c>
      <c r="AK35" s="683">
        <f t="shared" si="27"/>
        <v>56929566.480000004</v>
      </c>
      <c r="AL35" s="683">
        <f t="shared" si="27"/>
        <v>56929566.480000004</v>
      </c>
      <c r="AM35" s="683">
        <f t="shared" si="27"/>
        <v>56929566.480000004</v>
      </c>
      <c r="AN35" s="683">
        <f t="shared" si="27"/>
        <v>56929566.480000004</v>
      </c>
      <c r="AO35" s="683">
        <f t="shared" si="27"/>
        <v>56929566.480000004</v>
      </c>
      <c r="AP35" s="683">
        <f t="shared" si="27"/>
        <v>56929566.480000004</v>
      </c>
      <c r="AQ35" s="683">
        <f t="shared" si="27"/>
        <v>56929566.480000004</v>
      </c>
      <c r="AR35" s="683">
        <f t="shared" si="27"/>
        <v>56929566.480000004</v>
      </c>
      <c r="AS35" s="683">
        <f t="shared" si="27"/>
        <v>56929566.480000004</v>
      </c>
      <c r="AT35" s="683">
        <f t="shared" si="27"/>
        <v>56929566.480000004</v>
      </c>
      <c r="AU35" s="721">
        <f t="shared" si="27"/>
        <v>56929566.480000004</v>
      </c>
      <c r="AV35" s="721">
        <f t="shared" si="27"/>
        <v>56929566.480000004</v>
      </c>
      <c r="AW35" s="721">
        <f t="shared" si="27"/>
        <v>56929566.480000004</v>
      </c>
      <c r="AX35" s="721">
        <f t="shared" si="27"/>
        <v>56929566.480000004</v>
      </c>
      <c r="AY35" s="721">
        <f t="shared" si="27"/>
        <v>56929566.480000004</v>
      </c>
      <c r="AZ35" s="721">
        <f t="shared" si="27"/>
        <v>56929566.480000004</v>
      </c>
      <c r="BA35" s="721">
        <f t="shared" si="27"/>
        <v>56929566.480000004</v>
      </c>
      <c r="BB35" s="721">
        <f t="shared" si="27"/>
        <v>56929566.480000004</v>
      </c>
      <c r="BC35" s="721">
        <f t="shared" si="27"/>
        <v>56929566.480000004</v>
      </c>
      <c r="BD35" s="721">
        <f t="shared" si="27"/>
        <v>56929566.480000004</v>
      </c>
      <c r="BE35" s="721">
        <f t="shared" si="27"/>
        <v>56929566.480000004</v>
      </c>
      <c r="BF35" s="721">
        <f t="shared" si="27"/>
        <v>56929566.480000004</v>
      </c>
      <c r="BG35" s="721">
        <f t="shared" si="27"/>
        <v>56929566.480000004</v>
      </c>
      <c r="BH35" s="721">
        <f t="shared" si="27"/>
        <v>56929566.480000004</v>
      </c>
      <c r="BI35" s="721">
        <f t="shared" si="27"/>
        <v>56929566.480000004</v>
      </c>
      <c r="BJ35" s="721">
        <f t="shared" si="27"/>
        <v>56929566.480000004</v>
      </c>
      <c r="BK35" s="721">
        <f t="shared" si="27"/>
        <v>56929566.480000004</v>
      </c>
      <c r="BL35" s="721">
        <f t="shared" si="27"/>
        <v>56929566.480000004</v>
      </c>
      <c r="BM35" s="721">
        <f t="shared" si="27"/>
        <v>56929566.480000004</v>
      </c>
      <c r="BN35" s="721">
        <f t="shared" si="27"/>
        <v>56929566.480000004</v>
      </c>
      <c r="BO35" s="721">
        <f t="shared" si="27"/>
        <v>56929566.480000004</v>
      </c>
      <c r="BP35" s="721">
        <f t="shared" si="27"/>
        <v>56929566.480000004</v>
      </c>
      <c r="BQ35" s="721">
        <f t="shared" si="27"/>
        <v>56929566.480000004</v>
      </c>
      <c r="BR35" s="721">
        <f t="shared" si="27"/>
        <v>56929566.480000004</v>
      </c>
      <c r="BS35" s="721">
        <f t="shared" ref="BS35:CL35" si="28">$D$35*BS16</f>
        <v>56929566.480000004</v>
      </c>
      <c r="BT35" s="721">
        <f t="shared" si="28"/>
        <v>56929566.480000004</v>
      </c>
      <c r="BU35" s="721">
        <f t="shared" si="28"/>
        <v>56929566.480000004</v>
      </c>
      <c r="BV35" s="721">
        <f t="shared" si="28"/>
        <v>56929566.480000004</v>
      </c>
      <c r="BW35" s="721">
        <f t="shared" si="28"/>
        <v>56929566.480000004</v>
      </c>
      <c r="BX35" s="721">
        <f t="shared" si="28"/>
        <v>56929566.480000004</v>
      </c>
      <c r="BY35" s="721">
        <f t="shared" si="28"/>
        <v>56929566.480000004</v>
      </c>
      <c r="BZ35" s="721">
        <f t="shared" si="28"/>
        <v>56929566.480000004</v>
      </c>
      <c r="CA35" s="721">
        <f t="shared" si="28"/>
        <v>56929566.480000004</v>
      </c>
      <c r="CB35" s="721">
        <f t="shared" si="28"/>
        <v>56929566.480000004</v>
      </c>
      <c r="CC35" s="721">
        <f t="shared" si="28"/>
        <v>56929566.480000004</v>
      </c>
      <c r="CD35" s="721">
        <f t="shared" si="28"/>
        <v>56929566.480000004</v>
      </c>
      <c r="CE35" s="721">
        <f t="shared" si="28"/>
        <v>56929566.480000004</v>
      </c>
      <c r="CF35" s="721">
        <f t="shared" si="28"/>
        <v>56929566.480000004</v>
      </c>
      <c r="CG35" s="721">
        <f t="shared" si="28"/>
        <v>56929566.480000004</v>
      </c>
      <c r="CH35" s="721">
        <f t="shared" si="28"/>
        <v>56929566.480000004</v>
      </c>
      <c r="CI35" s="721">
        <f t="shared" si="28"/>
        <v>56929566.480000004</v>
      </c>
      <c r="CJ35" s="721">
        <f t="shared" si="28"/>
        <v>56929566.480000004</v>
      </c>
      <c r="CK35" s="721">
        <f t="shared" si="28"/>
        <v>56929566.480000004</v>
      </c>
      <c r="CL35" s="720">
        <f t="shared" si="28"/>
        <v>56929566.480000004</v>
      </c>
      <c r="CM35" s="685">
        <f t="shared" si="0"/>
        <v>56929566.479999959</v>
      </c>
      <c r="CN35" s="725" t="s">
        <v>317</v>
      </c>
      <c r="CO35" s="725">
        <v>2198.1265252613698</v>
      </c>
      <c r="CP35" s="725">
        <v>2198.1265252613698</v>
      </c>
      <c r="CQ35" s="725">
        <v>2198.1265252613698</v>
      </c>
      <c r="CR35" s="725">
        <v>2198.1265252613698</v>
      </c>
      <c r="CS35" s="725">
        <v>2198.1265252613698</v>
      </c>
      <c r="CT35" s="725">
        <v>2198.1265252613698</v>
      </c>
      <c r="CU35" s="725">
        <v>2198.1265252613698</v>
      </c>
      <c r="CV35" s="725">
        <v>2198.1265252613698</v>
      </c>
      <c r="CW35" s="725">
        <v>2204.6719970040999</v>
      </c>
      <c r="CX35" s="725">
        <v>2198.1265252613698</v>
      </c>
      <c r="CY35" s="725">
        <v>2204.6719970040999</v>
      </c>
      <c r="CZ35" s="725">
        <v>2211.21746874684</v>
      </c>
      <c r="DA35" s="725">
        <v>2217.7629404895802</v>
      </c>
      <c r="DB35" s="725">
        <v>2224.3084122323098</v>
      </c>
      <c r="DC35" s="725">
        <v>2230.8538839750499</v>
      </c>
      <c r="DD35" s="725">
        <v>2237.3993557177901</v>
      </c>
      <c r="DE35" s="725">
        <v>2243.9448274605202</v>
      </c>
      <c r="DF35" s="725">
        <v>2250.4902992032598</v>
      </c>
      <c r="DG35" s="725">
        <v>2257.03577094599</v>
      </c>
      <c r="DH35" s="725">
        <v>2263.5812426887301</v>
      </c>
      <c r="DI35" s="725">
        <v>2270.1267144314702</v>
      </c>
      <c r="DJ35" s="725">
        <v>2276.6721861741999</v>
      </c>
      <c r="DK35" s="725">
        <v>2283.21765791694</v>
      </c>
      <c r="DL35" s="725">
        <v>2289.7631296596801</v>
      </c>
      <c r="DM35" s="725">
        <v>2296.3086014024102</v>
      </c>
      <c r="DN35" s="725">
        <v>2302.8540731451499</v>
      </c>
      <c r="DO35" s="725">
        <v>2309.39954488788</v>
      </c>
      <c r="DP35" s="725">
        <v>2315.9450166306201</v>
      </c>
      <c r="DQ35" s="725">
        <v>2322.4904883733602</v>
      </c>
      <c r="DR35" s="725">
        <v>2329.0359601160899</v>
      </c>
      <c r="DS35" s="725">
        <v>2335.58143185883</v>
      </c>
      <c r="DT35" s="725">
        <v>2342.1269036015701</v>
      </c>
      <c r="DU35" s="725">
        <v>2348.6723753442998</v>
      </c>
      <c r="DV35" s="725">
        <v>2355.2178470870399</v>
      </c>
      <c r="DW35" s="725">
        <v>2361.76331882977</v>
      </c>
      <c r="DX35" s="725">
        <v>2368.3087905725101</v>
      </c>
      <c r="DY35" s="725">
        <v>2374.8542623152498</v>
      </c>
      <c r="DZ35" s="725">
        <v>2381.3997340579799</v>
      </c>
      <c r="EA35" s="725">
        <v>2387.94520580072</v>
      </c>
      <c r="EB35" s="725">
        <v>2394.4906775434602</v>
      </c>
      <c r="EC35" s="725">
        <v>1659</v>
      </c>
      <c r="ED35" s="725">
        <v>2237</v>
      </c>
      <c r="EE35" s="725">
        <v>2255.1410444563789</v>
      </c>
      <c r="EF35" s="725">
        <v>2146.2487431145209</v>
      </c>
      <c r="EG35" s="725">
        <v>2418.3910474276554</v>
      </c>
      <c r="EH35" s="725">
        <v>2701.6199743644243</v>
      </c>
      <c r="EI35" s="725">
        <v>2777.0407045596344</v>
      </c>
      <c r="EJ35" s="725">
        <v>2836.6205896021006</v>
      </c>
      <c r="EK35" s="725">
        <v>2780.2581602607625</v>
      </c>
      <c r="EL35" s="725">
        <v>3053.926570501239</v>
      </c>
      <c r="EM35" s="725">
        <v>2836.1664048306907</v>
      </c>
      <c r="EN35" s="725">
        <v>2611.932049598453</v>
      </c>
      <c r="EO35" s="725">
        <v>2577.919484614094</v>
      </c>
      <c r="EP35" s="725">
        <v>2856.2006891112787</v>
      </c>
      <c r="EQ35" s="725">
        <v>2469.3423214225581</v>
      </c>
      <c r="ER35" s="725">
        <v>2091.94</v>
      </c>
      <c r="ES35" s="725">
        <v>2025.12</v>
      </c>
      <c r="ET35" s="725">
        <v>2197.69</v>
      </c>
      <c r="EU35" s="725">
        <v>2450.21</v>
      </c>
      <c r="EV35" s="725">
        <v>2188.85</v>
      </c>
      <c r="EW35" s="725">
        <v>2098.58</v>
      </c>
      <c r="EX35" s="725">
        <v>2650.93</v>
      </c>
      <c r="EY35" s="725">
        <v>2588.92</v>
      </c>
      <c r="EZ35" s="725">
        <v>2922.37</v>
      </c>
      <c r="FA35" s="725">
        <v>2398.6999999999998</v>
      </c>
      <c r="FB35" s="725">
        <v>2269.4</v>
      </c>
      <c r="FC35" s="725">
        <v>1425.69</v>
      </c>
      <c r="FD35" s="725">
        <v>1908.42</v>
      </c>
      <c r="FE35" s="725">
        <v>1785.56</v>
      </c>
      <c r="FF35" s="725">
        <v>1111.8399999999999</v>
      </c>
      <c r="FG35" s="725">
        <v>1033.04</v>
      </c>
      <c r="FH35" s="725">
        <v>1321.01</v>
      </c>
      <c r="FI35" s="725">
        <v>1668.98</v>
      </c>
      <c r="FJ35" s="725">
        <v>1783.8</v>
      </c>
      <c r="FK35" s="725">
        <v>2035.2</v>
      </c>
      <c r="FL35" s="725">
        <v>2259.19</v>
      </c>
      <c r="FM35" s="725">
        <v>2699.1</v>
      </c>
      <c r="FN35" s="725">
        <v>3294.54</v>
      </c>
      <c r="FO35" s="725">
        <v>2840.46</v>
      </c>
      <c r="FP35" s="725">
        <v>2266.15</v>
      </c>
      <c r="FQ35" s="725">
        <v>2243.14</v>
      </c>
      <c r="FR35" s="725">
        <v>2506.4699999999998</v>
      </c>
      <c r="FS35" s="725">
        <v>2911.57</v>
      </c>
      <c r="FT35" s="725">
        <v>3467.2</v>
      </c>
      <c r="FU35" s="725">
        <v>3800.16</v>
      </c>
      <c r="FV35" s="726">
        <f t="shared" si="26"/>
        <v>2365.8008396414175</v>
      </c>
      <c r="FW35" s="312"/>
    </row>
    <row r="36" spans="1:179">
      <c r="A36" s="1029"/>
      <c r="B36" s="686" t="s">
        <v>305</v>
      </c>
      <c r="C36" s="687" t="s">
        <v>310</v>
      </c>
      <c r="D36" s="687">
        <v>0.51</v>
      </c>
      <c r="E36" s="1030"/>
      <c r="F36" s="720" t="s">
        <v>131</v>
      </c>
      <c r="G36" s="683">
        <f t="shared" ref="G36:BR36" si="29">$D$36*G16</f>
        <v>56451.39</v>
      </c>
      <c r="H36" s="683">
        <f t="shared" si="29"/>
        <v>56451.39</v>
      </c>
      <c r="I36" s="683">
        <f t="shared" si="29"/>
        <v>56451.39</v>
      </c>
      <c r="J36" s="683">
        <f t="shared" si="29"/>
        <v>56451.39</v>
      </c>
      <c r="K36" s="683">
        <f t="shared" si="29"/>
        <v>56451.39</v>
      </c>
      <c r="L36" s="683">
        <f t="shared" si="29"/>
        <v>56451.39</v>
      </c>
      <c r="M36" s="683">
        <f t="shared" si="29"/>
        <v>56451.39</v>
      </c>
      <c r="N36" s="683">
        <f t="shared" si="29"/>
        <v>56451.39</v>
      </c>
      <c r="O36" s="683">
        <f t="shared" si="29"/>
        <v>56451.39</v>
      </c>
      <c r="P36" s="683">
        <f t="shared" si="29"/>
        <v>56451.39</v>
      </c>
      <c r="Q36" s="683">
        <f t="shared" si="29"/>
        <v>56451.39</v>
      </c>
      <c r="R36" s="683">
        <f t="shared" si="29"/>
        <v>56451.39</v>
      </c>
      <c r="S36" s="683">
        <f t="shared" si="29"/>
        <v>56451.39</v>
      </c>
      <c r="T36" s="683">
        <f t="shared" si="29"/>
        <v>56451.39</v>
      </c>
      <c r="U36" s="683">
        <f t="shared" si="29"/>
        <v>56451.39</v>
      </c>
      <c r="V36" s="683">
        <f t="shared" si="29"/>
        <v>56451.39</v>
      </c>
      <c r="W36" s="683">
        <f t="shared" si="29"/>
        <v>56451.39</v>
      </c>
      <c r="X36" s="683">
        <f t="shared" si="29"/>
        <v>56451.39</v>
      </c>
      <c r="Y36" s="683">
        <f t="shared" si="29"/>
        <v>56451.39</v>
      </c>
      <c r="Z36" s="683">
        <f t="shared" si="29"/>
        <v>56451.39</v>
      </c>
      <c r="AA36" s="683">
        <f t="shared" si="29"/>
        <v>56451.39</v>
      </c>
      <c r="AB36" s="683">
        <f t="shared" si="29"/>
        <v>56451.39</v>
      </c>
      <c r="AC36" s="683">
        <f t="shared" si="29"/>
        <v>56451.39</v>
      </c>
      <c r="AD36" s="683">
        <f t="shared" si="29"/>
        <v>56451.39</v>
      </c>
      <c r="AE36" s="683">
        <f t="shared" si="29"/>
        <v>56451.39</v>
      </c>
      <c r="AF36" s="683">
        <f t="shared" si="29"/>
        <v>56451.39</v>
      </c>
      <c r="AG36" s="683">
        <f t="shared" si="29"/>
        <v>56451.39</v>
      </c>
      <c r="AH36" s="683">
        <f t="shared" si="29"/>
        <v>56451.39</v>
      </c>
      <c r="AI36" s="683">
        <f t="shared" si="29"/>
        <v>56451.39</v>
      </c>
      <c r="AJ36" s="683">
        <f t="shared" si="29"/>
        <v>56451.39</v>
      </c>
      <c r="AK36" s="683">
        <f t="shared" si="29"/>
        <v>56451.39</v>
      </c>
      <c r="AL36" s="683">
        <f t="shared" si="29"/>
        <v>56451.39</v>
      </c>
      <c r="AM36" s="683">
        <f t="shared" si="29"/>
        <v>56451.39</v>
      </c>
      <c r="AN36" s="683">
        <f t="shared" si="29"/>
        <v>56451.39</v>
      </c>
      <c r="AO36" s="683">
        <f t="shared" si="29"/>
        <v>56451.39</v>
      </c>
      <c r="AP36" s="683">
        <f t="shared" si="29"/>
        <v>56451.39</v>
      </c>
      <c r="AQ36" s="683">
        <f t="shared" si="29"/>
        <v>56451.39</v>
      </c>
      <c r="AR36" s="683">
        <f t="shared" si="29"/>
        <v>56451.39</v>
      </c>
      <c r="AS36" s="683">
        <f t="shared" si="29"/>
        <v>56451.39</v>
      </c>
      <c r="AT36" s="683">
        <f t="shared" si="29"/>
        <v>56451.39</v>
      </c>
      <c r="AU36" s="721">
        <f t="shared" si="29"/>
        <v>56451.39</v>
      </c>
      <c r="AV36" s="721">
        <f t="shared" si="29"/>
        <v>56451.39</v>
      </c>
      <c r="AW36" s="721">
        <f t="shared" si="29"/>
        <v>56451.39</v>
      </c>
      <c r="AX36" s="721">
        <f t="shared" si="29"/>
        <v>56451.39</v>
      </c>
      <c r="AY36" s="721">
        <f t="shared" si="29"/>
        <v>56451.39</v>
      </c>
      <c r="AZ36" s="721">
        <f t="shared" si="29"/>
        <v>56451.39</v>
      </c>
      <c r="BA36" s="721">
        <f t="shared" si="29"/>
        <v>56451.39</v>
      </c>
      <c r="BB36" s="721">
        <f t="shared" si="29"/>
        <v>56451.39</v>
      </c>
      <c r="BC36" s="721">
        <f t="shared" si="29"/>
        <v>56451.39</v>
      </c>
      <c r="BD36" s="721">
        <f t="shared" si="29"/>
        <v>56451.39</v>
      </c>
      <c r="BE36" s="721">
        <f t="shared" si="29"/>
        <v>56451.39</v>
      </c>
      <c r="BF36" s="721">
        <f t="shared" si="29"/>
        <v>56451.39</v>
      </c>
      <c r="BG36" s="721">
        <f t="shared" si="29"/>
        <v>56451.39</v>
      </c>
      <c r="BH36" s="721">
        <f t="shared" si="29"/>
        <v>56451.39</v>
      </c>
      <c r="BI36" s="721">
        <f t="shared" si="29"/>
        <v>56451.39</v>
      </c>
      <c r="BJ36" s="721">
        <f t="shared" si="29"/>
        <v>56451.39</v>
      </c>
      <c r="BK36" s="721">
        <f t="shared" si="29"/>
        <v>56451.39</v>
      </c>
      <c r="BL36" s="721">
        <f t="shared" si="29"/>
        <v>56451.39</v>
      </c>
      <c r="BM36" s="721">
        <f t="shared" si="29"/>
        <v>56451.39</v>
      </c>
      <c r="BN36" s="721">
        <f t="shared" si="29"/>
        <v>56451.39</v>
      </c>
      <c r="BO36" s="721">
        <f t="shared" si="29"/>
        <v>56451.39</v>
      </c>
      <c r="BP36" s="721">
        <f t="shared" si="29"/>
        <v>56451.39</v>
      </c>
      <c r="BQ36" s="721">
        <f t="shared" si="29"/>
        <v>56451.39</v>
      </c>
      <c r="BR36" s="721">
        <f t="shared" si="29"/>
        <v>56451.39</v>
      </c>
      <c r="BS36" s="721">
        <f t="shared" ref="BS36:CL36" si="30">$D$36*BS16</f>
        <v>56451.39</v>
      </c>
      <c r="BT36" s="721">
        <f t="shared" si="30"/>
        <v>56451.39</v>
      </c>
      <c r="BU36" s="721">
        <f t="shared" si="30"/>
        <v>56451.39</v>
      </c>
      <c r="BV36" s="721">
        <f t="shared" si="30"/>
        <v>56451.39</v>
      </c>
      <c r="BW36" s="721">
        <f t="shared" si="30"/>
        <v>56451.39</v>
      </c>
      <c r="BX36" s="721">
        <f t="shared" si="30"/>
        <v>56451.39</v>
      </c>
      <c r="BY36" s="721">
        <f t="shared" si="30"/>
        <v>56451.39</v>
      </c>
      <c r="BZ36" s="721">
        <f t="shared" si="30"/>
        <v>56451.39</v>
      </c>
      <c r="CA36" s="721">
        <f t="shared" si="30"/>
        <v>56451.39</v>
      </c>
      <c r="CB36" s="721">
        <f t="shared" si="30"/>
        <v>56451.39</v>
      </c>
      <c r="CC36" s="721">
        <f t="shared" si="30"/>
        <v>56451.39</v>
      </c>
      <c r="CD36" s="721">
        <f t="shared" si="30"/>
        <v>56451.39</v>
      </c>
      <c r="CE36" s="721">
        <f t="shared" si="30"/>
        <v>56451.39</v>
      </c>
      <c r="CF36" s="721">
        <f t="shared" si="30"/>
        <v>56451.39</v>
      </c>
      <c r="CG36" s="721">
        <f t="shared" si="30"/>
        <v>56451.39</v>
      </c>
      <c r="CH36" s="721">
        <f t="shared" si="30"/>
        <v>56451.39</v>
      </c>
      <c r="CI36" s="721">
        <f t="shared" si="30"/>
        <v>56451.39</v>
      </c>
      <c r="CJ36" s="721">
        <f t="shared" si="30"/>
        <v>56451.39</v>
      </c>
      <c r="CK36" s="721">
        <f t="shared" si="30"/>
        <v>56451.39</v>
      </c>
      <c r="CL36" s="720">
        <f t="shared" si="30"/>
        <v>56451.39</v>
      </c>
      <c r="CM36" s="685">
        <f t="shared" si="0"/>
        <v>56451.39</v>
      </c>
      <c r="CN36" s="725" t="s">
        <v>318</v>
      </c>
      <c r="CO36" s="725">
        <v>36.979805128205101</v>
      </c>
      <c r="CP36" s="725">
        <v>36.979805128205101</v>
      </c>
      <c r="CQ36" s="725">
        <v>36.979805128205101</v>
      </c>
      <c r="CR36" s="725">
        <v>36.979805128205101</v>
      </c>
      <c r="CS36" s="725">
        <v>36.979805128205101</v>
      </c>
      <c r="CT36" s="725">
        <v>36.979805128205101</v>
      </c>
      <c r="CU36" s="725">
        <v>36.979805128205101</v>
      </c>
      <c r="CV36" s="725">
        <v>36.979805128205101</v>
      </c>
      <c r="CW36" s="725">
        <v>37.756290598290597</v>
      </c>
      <c r="CX36" s="725">
        <v>36.979805128205101</v>
      </c>
      <c r="CY36" s="725">
        <v>37.756290598290597</v>
      </c>
      <c r="CZ36" s="725">
        <v>38.532776068376101</v>
      </c>
      <c r="DA36" s="725">
        <v>39.309261538461499</v>
      </c>
      <c r="DB36" s="725">
        <v>40.085747008547003</v>
      </c>
      <c r="DC36" s="725">
        <v>40.8622324786325</v>
      </c>
      <c r="DD36" s="725">
        <v>41.638717948718003</v>
      </c>
      <c r="DE36" s="725">
        <v>42.415203418803401</v>
      </c>
      <c r="DF36" s="725">
        <v>43.191688888888898</v>
      </c>
      <c r="DG36" s="725">
        <v>43.968174358974402</v>
      </c>
      <c r="DH36" s="725">
        <v>44.744659829059799</v>
      </c>
      <c r="DI36" s="725">
        <v>45.521145299145303</v>
      </c>
      <c r="DJ36" s="725">
        <v>46.2976307692308</v>
      </c>
      <c r="DK36" s="725">
        <v>47.074116239316197</v>
      </c>
      <c r="DL36" s="725">
        <v>47.850601709401701</v>
      </c>
      <c r="DM36" s="725">
        <v>48.627087179487198</v>
      </c>
      <c r="DN36" s="725">
        <v>49.403572649572702</v>
      </c>
      <c r="DO36" s="725">
        <v>50.180058119658099</v>
      </c>
      <c r="DP36" s="725">
        <v>50.956543589743603</v>
      </c>
      <c r="DQ36" s="725">
        <v>51.7330290598291</v>
      </c>
      <c r="DR36" s="725">
        <v>52.509514529914497</v>
      </c>
      <c r="DS36" s="725">
        <v>53.286000000000001</v>
      </c>
      <c r="DT36" s="725">
        <v>54.062485470085498</v>
      </c>
      <c r="DU36" s="725">
        <v>54.838970940170903</v>
      </c>
      <c r="DV36" s="725">
        <v>55.6154564102564</v>
      </c>
      <c r="DW36" s="725">
        <v>56.391941880341903</v>
      </c>
      <c r="DX36" s="725">
        <v>57.1684273504274</v>
      </c>
      <c r="DY36" s="725">
        <v>57.944912820512798</v>
      </c>
      <c r="DZ36" s="725">
        <v>58.721398290598302</v>
      </c>
      <c r="EA36" s="725">
        <v>59.497883760683798</v>
      </c>
      <c r="EB36" s="725">
        <v>60.274369230769203</v>
      </c>
      <c r="EC36" s="725">
        <v>56.1</v>
      </c>
      <c r="ED36" s="725">
        <v>57.6</v>
      </c>
      <c r="EE36" s="725">
        <v>55.7</v>
      </c>
      <c r="EF36" s="725">
        <v>59.95</v>
      </c>
      <c r="EG36" s="725">
        <v>68.569999999999993</v>
      </c>
      <c r="EH36" s="725">
        <v>79.7</v>
      </c>
      <c r="EI36" s="725">
        <v>85.01</v>
      </c>
      <c r="EJ36" s="725">
        <v>73.42</v>
      </c>
      <c r="EK36" s="725">
        <v>68.25</v>
      </c>
      <c r="EL36" s="725">
        <v>53.25</v>
      </c>
      <c r="EM36" s="725">
        <v>65.459999999999994</v>
      </c>
      <c r="EN36" s="725">
        <v>60.93</v>
      </c>
      <c r="EO36" s="725">
        <v>59.7</v>
      </c>
      <c r="EP36" s="725">
        <v>58.94</v>
      </c>
      <c r="EQ36" s="725">
        <v>57.95</v>
      </c>
      <c r="ER36" s="725">
        <v>78.48</v>
      </c>
      <c r="ES36" s="725">
        <v>82.51</v>
      </c>
      <c r="ET36" s="725">
        <v>83.6</v>
      </c>
      <c r="EU36" s="725">
        <v>102.15</v>
      </c>
      <c r="EV36" s="725">
        <v>74.58</v>
      </c>
      <c r="EW36" s="725">
        <v>78.45</v>
      </c>
      <c r="EX36" s="725">
        <v>76.87</v>
      </c>
      <c r="EY36" s="725">
        <v>82.39</v>
      </c>
      <c r="EZ36" s="725">
        <v>77.88</v>
      </c>
      <c r="FA36" s="725">
        <v>75.39</v>
      </c>
      <c r="FB36" s="725">
        <v>66.849999999999994</v>
      </c>
      <c r="FC36" s="725">
        <v>64.58</v>
      </c>
      <c r="FD36" s="725">
        <v>84.97</v>
      </c>
      <c r="FE36" s="725">
        <v>78.069999999999993</v>
      </c>
      <c r="FF36" s="725">
        <v>71.17</v>
      </c>
      <c r="FG36" s="725">
        <v>68.23</v>
      </c>
      <c r="FH36" s="725">
        <v>69.2</v>
      </c>
      <c r="FI36" s="725">
        <v>71.16</v>
      </c>
      <c r="FJ36" s="725">
        <v>82.9</v>
      </c>
      <c r="FK36" s="725">
        <v>88.88</v>
      </c>
      <c r="FL36" s="725">
        <v>80.14</v>
      </c>
      <c r="FM36" s="725">
        <v>89.43</v>
      </c>
      <c r="FN36" s="725">
        <v>102.78</v>
      </c>
      <c r="FO36" s="725">
        <v>102.25</v>
      </c>
      <c r="FP36" s="725">
        <v>100.32</v>
      </c>
      <c r="FQ36" s="725">
        <v>81.34</v>
      </c>
      <c r="FR36" s="725">
        <v>90.67</v>
      </c>
      <c r="FS36" s="725">
        <v>91.86</v>
      </c>
      <c r="FT36" s="725">
        <v>95.99</v>
      </c>
      <c r="FU36" s="725">
        <v>94.95</v>
      </c>
      <c r="FV36" s="726">
        <f t="shared" si="26"/>
        <v>76.634888888888895</v>
      </c>
      <c r="FW36" s="312"/>
    </row>
    <row r="37" spans="1:179" ht="21.75" customHeight="1">
      <c r="A37" s="1029"/>
      <c r="B37" s="686" t="s">
        <v>305</v>
      </c>
      <c r="C37" s="687" t="s">
        <v>319</v>
      </c>
      <c r="D37" s="687">
        <v>0.14000000000000001</v>
      </c>
      <c r="E37" s="1030"/>
      <c r="F37" s="720" t="s">
        <v>130</v>
      </c>
      <c r="G37" s="683">
        <f t="shared" ref="G37:BR37" si="31">$D$37*G16</f>
        <v>15496.460000000001</v>
      </c>
      <c r="H37" s="683">
        <f t="shared" si="31"/>
        <v>15496.460000000001</v>
      </c>
      <c r="I37" s="683">
        <f t="shared" si="31"/>
        <v>15496.460000000001</v>
      </c>
      <c r="J37" s="683">
        <f t="shared" si="31"/>
        <v>15496.460000000001</v>
      </c>
      <c r="K37" s="683">
        <f t="shared" si="31"/>
        <v>15496.460000000001</v>
      </c>
      <c r="L37" s="683">
        <f t="shared" si="31"/>
        <v>15496.460000000001</v>
      </c>
      <c r="M37" s="683">
        <f t="shared" si="31"/>
        <v>15496.460000000001</v>
      </c>
      <c r="N37" s="683">
        <f t="shared" si="31"/>
        <v>15496.460000000001</v>
      </c>
      <c r="O37" s="683">
        <f t="shared" si="31"/>
        <v>15496.460000000001</v>
      </c>
      <c r="P37" s="683">
        <f t="shared" si="31"/>
        <v>15496.460000000001</v>
      </c>
      <c r="Q37" s="683">
        <f t="shared" si="31"/>
        <v>15496.460000000001</v>
      </c>
      <c r="R37" s="683">
        <f t="shared" si="31"/>
        <v>15496.460000000001</v>
      </c>
      <c r="S37" s="683">
        <f t="shared" si="31"/>
        <v>15496.460000000001</v>
      </c>
      <c r="T37" s="683">
        <f t="shared" si="31"/>
        <v>15496.460000000001</v>
      </c>
      <c r="U37" s="683">
        <f t="shared" si="31"/>
        <v>15496.460000000001</v>
      </c>
      <c r="V37" s="683">
        <f t="shared" si="31"/>
        <v>15496.460000000001</v>
      </c>
      <c r="W37" s="683">
        <f t="shared" si="31"/>
        <v>15496.460000000001</v>
      </c>
      <c r="X37" s="683">
        <f t="shared" si="31"/>
        <v>15496.460000000001</v>
      </c>
      <c r="Y37" s="683">
        <f t="shared" si="31"/>
        <v>15496.460000000001</v>
      </c>
      <c r="Z37" s="683">
        <f t="shared" si="31"/>
        <v>15496.460000000001</v>
      </c>
      <c r="AA37" s="683">
        <f t="shared" si="31"/>
        <v>15496.460000000001</v>
      </c>
      <c r="AB37" s="683">
        <f t="shared" si="31"/>
        <v>15496.460000000001</v>
      </c>
      <c r="AC37" s="683">
        <f t="shared" si="31"/>
        <v>15496.460000000001</v>
      </c>
      <c r="AD37" s="683">
        <f t="shared" si="31"/>
        <v>15496.460000000001</v>
      </c>
      <c r="AE37" s="683">
        <f t="shared" si="31"/>
        <v>15496.460000000001</v>
      </c>
      <c r="AF37" s="683">
        <f t="shared" si="31"/>
        <v>15496.460000000001</v>
      </c>
      <c r="AG37" s="683">
        <f t="shared" si="31"/>
        <v>15496.460000000001</v>
      </c>
      <c r="AH37" s="683">
        <f t="shared" si="31"/>
        <v>15496.460000000001</v>
      </c>
      <c r="AI37" s="683">
        <f t="shared" si="31"/>
        <v>15496.460000000001</v>
      </c>
      <c r="AJ37" s="683">
        <f t="shared" si="31"/>
        <v>15496.460000000001</v>
      </c>
      <c r="AK37" s="683">
        <f t="shared" si="31"/>
        <v>15496.460000000001</v>
      </c>
      <c r="AL37" s="683">
        <f t="shared" si="31"/>
        <v>15496.460000000001</v>
      </c>
      <c r="AM37" s="683">
        <f t="shared" si="31"/>
        <v>15496.460000000001</v>
      </c>
      <c r="AN37" s="683">
        <f t="shared" si="31"/>
        <v>15496.460000000001</v>
      </c>
      <c r="AO37" s="683">
        <f t="shared" si="31"/>
        <v>15496.460000000001</v>
      </c>
      <c r="AP37" s="683">
        <f t="shared" si="31"/>
        <v>15496.460000000001</v>
      </c>
      <c r="AQ37" s="683">
        <f t="shared" si="31"/>
        <v>15496.460000000001</v>
      </c>
      <c r="AR37" s="683">
        <f t="shared" si="31"/>
        <v>15496.460000000001</v>
      </c>
      <c r="AS37" s="683">
        <f t="shared" si="31"/>
        <v>15496.460000000001</v>
      </c>
      <c r="AT37" s="683">
        <f t="shared" si="31"/>
        <v>15496.460000000001</v>
      </c>
      <c r="AU37" s="721">
        <f t="shared" si="31"/>
        <v>15496.460000000001</v>
      </c>
      <c r="AV37" s="721">
        <f t="shared" si="31"/>
        <v>15496.460000000001</v>
      </c>
      <c r="AW37" s="721">
        <f t="shared" si="31"/>
        <v>15496.460000000001</v>
      </c>
      <c r="AX37" s="721">
        <f t="shared" si="31"/>
        <v>15496.460000000001</v>
      </c>
      <c r="AY37" s="721">
        <f t="shared" si="31"/>
        <v>15496.460000000001</v>
      </c>
      <c r="AZ37" s="721">
        <f t="shared" si="31"/>
        <v>15496.460000000001</v>
      </c>
      <c r="BA37" s="721">
        <f t="shared" si="31"/>
        <v>15496.460000000001</v>
      </c>
      <c r="BB37" s="721">
        <f t="shared" si="31"/>
        <v>15496.460000000001</v>
      </c>
      <c r="BC37" s="721">
        <f t="shared" si="31"/>
        <v>15496.460000000001</v>
      </c>
      <c r="BD37" s="721">
        <f t="shared" si="31"/>
        <v>15496.460000000001</v>
      </c>
      <c r="BE37" s="721">
        <f t="shared" si="31"/>
        <v>15496.460000000001</v>
      </c>
      <c r="BF37" s="721">
        <f t="shared" si="31"/>
        <v>15496.460000000001</v>
      </c>
      <c r="BG37" s="721">
        <f t="shared" si="31"/>
        <v>15496.460000000001</v>
      </c>
      <c r="BH37" s="721">
        <f t="shared" si="31"/>
        <v>15496.460000000001</v>
      </c>
      <c r="BI37" s="721">
        <f t="shared" si="31"/>
        <v>15496.460000000001</v>
      </c>
      <c r="BJ37" s="721">
        <f t="shared" si="31"/>
        <v>15496.460000000001</v>
      </c>
      <c r="BK37" s="721">
        <f t="shared" si="31"/>
        <v>15496.460000000001</v>
      </c>
      <c r="BL37" s="721">
        <f t="shared" si="31"/>
        <v>15496.460000000001</v>
      </c>
      <c r="BM37" s="721">
        <f t="shared" si="31"/>
        <v>15496.460000000001</v>
      </c>
      <c r="BN37" s="721">
        <f t="shared" si="31"/>
        <v>15496.460000000001</v>
      </c>
      <c r="BO37" s="721">
        <f t="shared" si="31"/>
        <v>15496.460000000001</v>
      </c>
      <c r="BP37" s="721">
        <f t="shared" si="31"/>
        <v>15496.460000000001</v>
      </c>
      <c r="BQ37" s="721">
        <f t="shared" si="31"/>
        <v>15496.460000000001</v>
      </c>
      <c r="BR37" s="721">
        <f t="shared" si="31"/>
        <v>15496.460000000001</v>
      </c>
      <c r="BS37" s="721">
        <f t="shared" ref="BS37:CL37" si="32">$D$37*BS16</f>
        <v>15496.460000000001</v>
      </c>
      <c r="BT37" s="721">
        <f t="shared" si="32"/>
        <v>15496.460000000001</v>
      </c>
      <c r="BU37" s="721">
        <f t="shared" si="32"/>
        <v>15496.460000000001</v>
      </c>
      <c r="BV37" s="721">
        <f t="shared" si="32"/>
        <v>15496.460000000001</v>
      </c>
      <c r="BW37" s="721">
        <f t="shared" si="32"/>
        <v>15496.460000000001</v>
      </c>
      <c r="BX37" s="721">
        <f t="shared" si="32"/>
        <v>15496.460000000001</v>
      </c>
      <c r="BY37" s="721">
        <f t="shared" si="32"/>
        <v>15496.460000000001</v>
      </c>
      <c r="BZ37" s="721">
        <f t="shared" si="32"/>
        <v>15496.460000000001</v>
      </c>
      <c r="CA37" s="721">
        <f t="shared" si="32"/>
        <v>15496.460000000001</v>
      </c>
      <c r="CB37" s="721">
        <f t="shared" si="32"/>
        <v>15496.460000000001</v>
      </c>
      <c r="CC37" s="721">
        <f t="shared" si="32"/>
        <v>15496.460000000001</v>
      </c>
      <c r="CD37" s="721">
        <f t="shared" si="32"/>
        <v>15496.460000000001</v>
      </c>
      <c r="CE37" s="721">
        <f t="shared" si="32"/>
        <v>15496.460000000001</v>
      </c>
      <c r="CF37" s="721">
        <f t="shared" si="32"/>
        <v>15496.460000000001</v>
      </c>
      <c r="CG37" s="721">
        <f t="shared" si="32"/>
        <v>15496.460000000001</v>
      </c>
      <c r="CH37" s="721">
        <f t="shared" si="32"/>
        <v>15496.460000000001</v>
      </c>
      <c r="CI37" s="721">
        <f t="shared" si="32"/>
        <v>15496.460000000001</v>
      </c>
      <c r="CJ37" s="721">
        <f t="shared" si="32"/>
        <v>15496.460000000001</v>
      </c>
      <c r="CK37" s="721">
        <f t="shared" si="32"/>
        <v>15496.460000000001</v>
      </c>
      <c r="CL37" s="720">
        <f t="shared" si="32"/>
        <v>15496.460000000001</v>
      </c>
      <c r="CM37" s="685">
        <f t="shared" si="0"/>
        <v>15496.459999999983</v>
      </c>
      <c r="CN37" s="725" t="s">
        <v>179</v>
      </c>
      <c r="CO37" s="725">
        <v>3.25</v>
      </c>
      <c r="CP37" s="725">
        <v>3.25</v>
      </c>
      <c r="CQ37" s="725">
        <v>3.25</v>
      </c>
      <c r="CR37" s="725">
        <v>3.25</v>
      </c>
      <c r="CS37" s="725">
        <v>3.25</v>
      </c>
      <c r="CT37" s="725">
        <v>3.5</v>
      </c>
      <c r="CU37" s="725">
        <v>3.5</v>
      </c>
      <c r="CV37" s="725">
        <v>3.5</v>
      </c>
      <c r="CW37" s="725">
        <v>3.5</v>
      </c>
      <c r="CX37" s="725">
        <v>3.5</v>
      </c>
      <c r="CY37" s="725">
        <v>3.5</v>
      </c>
      <c r="CZ37" s="725">
        <v>3.5</v>
      </c>
      <c r="DA37" s="725">
        <v>3.5</v>
      </c>
      <c r="DB37" s="725">
        <v>3.5</v>
      </c>
      <c r="DC37" s="725">
        <v>3.5</v>
      </c>
      <c r="DD37" s="725">
        <v>3.5</v>
      </c>
      <c r="DE37" s="725">
        <v>3.5574974358974401</v>
      </c>
      <c r="DF37" s="725">
        <v>3.5365333333333302</v>
      </c>
      <c r="DG37" s="725">
        <v>3.5155692307692301</v>
      </c>
      <c r="DH37" s="725">
        <v>3.49460512820513</v>
      </c>
      <c r="DI37" s="725">
        <v>3.4736410256410299</v>
      </c>
      <c r="DJ37" s="725">
        <v>3.4526769230769201</v>
      </c>
      <c r="DK37" s="725">
        <v>3.43171282051282</v>
      </c>
      <c r="DL37" s="725">
        <v>3.4107487179487199</v>
      </c>
      <c r="DM37" s="725">
        <v>3.3897846153846101</v>
      </c>
      <c r="DN37" s="725">
        <v>3.36882051282051</v>
      </c>
      <c r="DO37" s="725">
        <v>3.3478564102564099</v>
      </c>
      <c r="DP37" s="725">
        <v>3.3268923076923098</v>
      </c>
      <c r="DQ37" s="725">
        <v>3.3059282051282</v>
      </c>
      <c r="DR37" s="725">
        <v>3.2849641025640999</v>
      </c>
      <c r="DS37" s="725">
        <v>3.2639999999999998</v>
      </c>
      <c r="DT37" s="725">
        <v>3.2430358974359002</v>
      </c>
      <c r="DU37" s="725">
        <v>3.2220717948717899</v>
      </c>
      <c r="DV37" s="725">
        <v>3.2011076923076902</v>
      </c>
      <c r="DW37" s="725">
        <v>3.1801435897435901</v>
      </c>
      <c r="DX37" s="725">
        <v>3.15917948717949</v>
      </c>
      <c r="DY37" s="725">
        <v>3.1382153846153802</v>
      </c>
      <c r="DZ37" s="725">
        <v>3.1172512820512801</v>
      </c>
      <c r="EA37" s="725">
        <v>3.09628717948718</v>
      </c>
      <c r="EB37" s="725">
        <v>3.0753230769230799</v>
      </c>
      <c r="EC37" s="725">
        <v>2.19</v>
      </c>
      <c r="ED37" s="725">
        <v>3.16</v>
      </c>
      <c r="EE37" s="725">
        <v>3.15</v>
      </c>
      <c r="EF37" s="725">
        <v>2.71</v>
      </c>
      <c r="EG37" s="725">
        <v>2.67</v>
      </c>
      <c r="EH37" s="725">
        <v>2.98</v>
      </c>
      <c r="EI37" s="725">
        <v>3.6</v>
      </c>
      <c r="EJ37" s="725">
        <v>3.3</v>
      </c>
      <c r="EK37" s="725">
        <v>3.19</v>
      </c>
      <c r="EL37" s="725">
        <v>3.54</v>
      </c>
      <c r="EM37" s="725">
        <v>3.04</v>
      </c>
      <c r="EN37" s="725">
        <v>2.95</v>
      </c>
      <c r="EO37" s="725">
        <v>2.5499999999999998</v>
      </c>
      <c r="EP37" s="725">
        <v>3.17</v>
      </c>
      <c r="EQ37" s="725">
        <v>2.7</v>
      </c>
      <c r="ER37" s="725">
        <v>2.14</v>
      </c>
      <c r="ES37" s="725">
        <v>2.11</v>
      </c>
      <c r="ET37" s="725">
        <v>2.31</v>
      </c>
      <c r="EU37" s="725">
        <v>2.5499999999999998</v>
      </c>
      <c r="EV37" s="725">
        <v>2.8</v>
      </c>
      <c r="EW37" s="725">
        <v>2.42</v>
      </c>
      <c r="EX37" s="725">
        <v>2.8</v>
      </c>
      <c r="EY37" s="725">
        <v>2.73</v>
      </c>
      <c r="EZ37" s="725">
        <v>2.99</v>
      </c>
      <c r="FA37" s="725">
        <v>2.38</v>
      </c>
      <c r="FB37" s="725">
        <v>2.4700000000000002</v>
      </c>
      <c r="FC37" s="725">
        <v>1.66</v>
      </c>
      <c r="FD37" s="725">
        <v>2.34</v>
      </c>
      <c r="FE37" s="725">
        <v>2.73</v>
      </c>
      <c r="FF37" s="725">
        <v>1.44</v>
      </c>
      <c r="FG37" s="725">
        <v>1.22</v>
      </c>
      <c r="FH37" s="725">
        <v>1.58</v>
      </c>
      <c r="FI37" s="725">
        <v>2.04</v>
      </c>
      <c r="FJ37" s="725">
        <v>2.15</v>
      </c>
      <c r="FK37" s="725">
        <v>2.37</v>
      </c>
      <c r="FL37" s="725">
        <v>2.61</v>
      </c>
      <c r="FM37" s="725">
        <v>2.96</v>
      </c>
      <c r="FN37" s="725">
        <v>3.52</v>
      </c>
      <c r="FO37" s="725">
        <v>3.35</v>
      </c>
      <c r="FP37" s="725">
        <v>2.69</v>
      </c>
      <c r="FQ37" s="725">
        <v>2.57</v>
      </c>
      <c r="FR37" s="725">
        <v>2.83</v>
      </c>
      <c r="FS37" s="725">
        <v>3.48</v>
      </c>
      <c r="FT37" s="725">
        <v>3.56</v>
      </c>
      <c r="FU37" s="725">
        <v>3.74</v>
      </c>
      <c r="FV37" s="726">
        <f t="shared" si="26"/>
        <v>2.6986666666666661</v>
      </c>
      <c r="FW37" s="312"/>
    </row>
    <row r="38" spans="1:179">
      <c r="A38" s="1029"/>
      <c r="B38" s="686" t="s">
        <v>305</v>
      </c>
      <c r="C38" s="687" t="s">
        <v>320</v>
      </c>
      <c r="D38" s="687">
        <v>15.58</v>
      </c>
      <c r="E38" s="1030"/>
      <c r="F38" s="720" t="s">
        <v>129</v>
      </c>
      <c r="G38" s="683">
        <f t="shared" ref="G38:BR38" si="33">$D$38*G16</f>
        <v>1724534.62</v>
      </c>
      <c r="H38" s="683">
        <f t="shared" si="33"/>
        <v>1724534.62</v>
      </c>
      <c r="I38" s="683">
        <f t="shared" si="33"/>
        <v>1724534.62</v>
      </c>
      <c r="J38" s="683">
        <f t="shared" si="33"/>
        <v>1724534.62</v>
      </c>
      <c r="K38" s="683">
        <f t="shared" si="33"/>
        <v>1724534.62</v>
      </c>
      <c r="L38" s="683">
        <f t="shared" si="33"/>
        <v>1724534.62</v>
      </c>
      <c r="M38" s="683">
        <f t="shared" si="33"/>
        <v>1724534.62</v>
      </c>
      <c r="N38" s="683">
        <f t="shared" si="33"/>
        <v>1724534.62</v>
      </c>
      <c r="O38" s="683">
        <f t="shared" si="33"/>
        <v>1724534.62</v>
      </c>
      <c r="P38" s="683">
        <f t="shared" si="33"/>
        <v>1724534.62</v>
      </c>
      <c r="Q38" s="683">
        <f t="shared" si="33"/>
        <v>1724534.62</v>
      </c>
      <c r="R38" s="683">
        <f t="shared" si="33"/>
        <v>1724534.62</v>
      </c>
      <c r="S38" s="683">
        <f t="shared" si="33"/>
        <v>1724534.62</v>
      </c>
      <c r="T38" s="683">
        <f t="shared" si="33"/>
        <v>1724534.62</v>
      </c>
      <c r="U38" s="683">
        <f t="shared" si="33"/>
        <v>1724534.62</v>
      </c>
      <c r="V38" s="683">
        <f t="shared" si="33"/>
        <v>1724534.62</v>
      </c>
      <c r="W38" s="683">
        <f t="shared" si="33"/>
        <v>1724534.62</v>
      </c>
      <c r="X38" s="683">
        <f t="shared" si="33"/>
        <v>1724534.62</v>
      </c>
      <c r="Y38" s="683">
        <f t="shared" si="33"/>
        <v>1724534.62</v>
      </c>
      <c r="Z38" s="683">
        <f t="shared" si="33"/>
        <v>1724534.62</v>
      </c>
      <c r="AA38" s="683">
        <f t="shared" si="33"/>
        <v>1724534.62</v>
      </c>
      <c r="AB38" s="683">
        <f t="shared" si="33"/>
        <v>1724534.62</v>
      </c>
      <c r="AC38" s="683">
        <f t="shared" si="33"/>
        <v>1724534.62</v>
      </c>
      <c r="AD38" s="683">
        <f t="shared" si="33"/>
        <v>1724534.62</v>
      </c>
      <c r="AE38" s="683">
        <f t="shared" si="33"/>
        <v>1724534.62</v>
      </c>
      <c r="AF38" s="683">
        <f t="shared" si="33"/>
        <v>1724534.62</v>
      </c>
      <c r="AG38" s="683">
        <f t="shared" si="33"/>
        <v>1724534.62</v>
      </c>
      <c r="AH38" s="683">
        <f t="shared" si="33"/>
        <v>1724534.62</v>
      </c>
      <c r="AI38" s="683">
        <f t="shared" si="33"/>
        <v>1724534.62</v>
      </c>
      <c r="AJ38" s="683">
        <f t="shared" si="33"/>
        <v>1724534.62</v>
      </c>
      <c r="AK38" s="683">
        <f t="shared" si="33"/>
        <v>1724534.62</v>
      </c>
      <c r="AL38" s="683">
        <f t="shared" si="33"/>
        <v>1724534.62</v>
      </c>
      <c r="AM38" s="683">
        <f t="shared" si="33"/>
        <v>1724534.62</v>
      </c>
      <c r="AN38" s="683">
        <f t="shared" si="33"/>
        <v>1724534.62</v>
      </c>
      <c r="AO38" s="683">
        <f t="shared" si="33"/>
        <v>1724534.62</v>
      </c>
      <c r="AP38" s="683">
        <f t="shared" si="33"/>
        <v>1724534.62</v>
      </c>
      <c r="AQ38" s="683">
        <f t="shared" si="33"/>
        <v>1724534.62</v>
      </c>
      <c r="AR38" s="683">
        <f t="shared" si="33"/>
        <v>1724534.62</v>
      </c>
      <c r="AS38" s="683">
        <f t="shared" si="33"/>
        <v>1724534.62</v>
      </c>
      <c r="AT38" s="683">
        <f t="shared" si="33"/>
        <v>1724534.62</v>
      </c>
      <c r="AU38" s="721">
        <f t="shared" si="33"/>
        <v>1724534.62</v>
      </c>
      <c r="AV38" s="721">
        <f t="shared" si="33"/>
        <v>1724534.62</v>
      </c>
      <c r="AW38" s="721">
        <f t="shared" si="33"/>
        <v>1724534.62</v>
      </c>
      <c r="AX38" s="721">
        <f t="shared" si="33"/>
        <v>1724534.62</v>
      </c>
      <c r="AY38" s="721">
        <f t="shared" si="33"/>
        <v>1724534.62</v>
      </c>
      <c r="AZ38" s="721">
        <f t="shared" si="33"/>
        <v>1724534.62</v>
      </c>
      <c r="BA38" s="721">
        <f t="shared" si="33"/>
        <v>1724534.62</v>
      </c>
      <c r="BB38" s="721">
        <f t="shared" si="33"/>
        <v>1724534.62</v>
      </c>
      <c r="BC38" s="721">
        <f t="shared" si="33"/>
        <v>1724534.62</v>
      </c>
      <c r="BD38" s="721">
        <f t="shared" si="33"/>
        <v>1724534.62</v>
      </c>
      <c r="BE38" s="721">
        <f t="shared" si="33"/>
        <v>1724534.62</v>
      </c>
      <c r="BF38" s="721">
        <f t="shared" si="33"/>
        <v>1724534.62</v>
      </c>
      <c r="BG38" s="721">
        <f t="shared" si="33"/>
        <v>1724534.62</v>
      </c>
      <c r="BH38" s="721">
        <f t="shared" si="33"/>
        <v>1724534.62</v>
      </c>
      <c r="BI38" s="721">
        <f t="shared" si="33"/>
        <v>1724534.62</v>
      </c>
      <c r="BJ38" s="721">
        <f t="shared" si="33"/>
        <v>1724534.62</v>
      </c>
      <c r="BK38" s="721">
        <f t="shared" si="33"/>
        <v>1724534.62</v>
      </c>
      <c r="BL38" s="721">
        <f t="shared" si="33"/>
        <v>1724534.62</v>
      </c>
      <c r="BM38" s="721">
        <f t="shared" si="33"/>
        <v>1724534.62</v>
      </c>
      <c r="BN38" s="721">
        <f t="shared" si="33"/>
        <v>1724534.62</v>
      </c>
      <c r="BO38" s="721">
        <f t="shared" si="33"/>
        <v>1724534.62</v>
      </c>
      <c r="BP38" s="721">
        <f t="shared" si="33"/>
        <v>1724534.62</v>
      </c>
      <c r="BQ38" s="721">
        <f t="shared" si="33"/>
        <v>1724534.62</v>
      </c>
      <c r="BR38" s="721">
        <f t="shared" si="33"/>
        <v>1724534.62</v>
      </c>
      <c r="BS38" s="721">
        <f t="shared" ref="BS38:CL38" si="34">$D$38*BS16</f>
        <v>1724534.62</v>
      </c>
      <c r="BT38" s="721">
        <f t="shared" si="34"/>
        <v>1724534.62</v>
      </c>
      <c r="BU38" s="721">
        <f t="shared" si="34"/>
        <v>1724534.62</v>
      </c>
      <c r="BV38" s="721">
        <f t="shared" si="34"/>
        <v>1724534.62</v>
      </c>
      <c r="BW38" s="721">
        <f t="shared" si="34"/>
        <v>1724534.62</v>
      </c>
      <c r="BX38" s="721">
        <f t="shared" si="34"/>
        <v>1724534.62</v>
      </c>
      <c r="BY38" s="721">
        <f t="shared" si="34"/>
        <v>1724534.62</v>
      </c>
      <c r="BZ38" s="721">
        <f t="shared" si="34"/>
        <v>1724534.62</v>
      </c>
      <c r="CA38" s="721">
        <f t="shared" si="34"/>
        <v>1724534.62</v>
      </c>
      <c r="CB38" s="721">
        <f t="shared" si="34"/>
        <v>1724534.62</v>
      </c>
      <c r="CC38" s="721">
        <f t="shared" si="34"/>
        <v>1724534.62</v>
      </c>
      <c r="CD38" s="721">
        <f t="shared" si="34"/>
        <v>1724534.62</v>
      </c>
      <c r="CE38" s="721">
        <f t="shared" si="34"/>
        <v>1724534.62</v>
      </c>
      <c r="CF38" s="721">
        <f t="shared" si="34"/>
        <v>1724534.62</v>
      </c>
      <c r="CG38" s="721">
        <f t="shared" si="34"/>
        <v>1724534.62</v>
      </c>
      <c r="CH38" s="721">
        <f t="shared" si="34"/>
        <v>1724534.62</v>
      </c>
      <c r="CI38" s="721">
        <f t="shared" si="34"/>
        <v>1724534.62</v>
      </c>
      <c r="CJ38" s="721">
        <f t="shared" si="34"/>
        <v>1724534.62</v>
      </c>
      <c r="CK38" s="721">
        <f t="shared" si="34"/>
        <v>1724534.62</v>
      </c>
      <c r="CL38" s="720">
        <f t="shared" si="34"/>
        <v>1724534.62</v>
      </c>
      <c r="CM38" s="685">
        <f t="shared" si="0"/>
        <v>1724534.620000002</v>
      </c>
      <c r="CN38" s="727" t="s">
        <v>217</v>
      </c>
      <c r="CO38" s="728">
        <v>3</v>
      </c>
      <c r="CP38" s="728">
        <v>3</v>
      </c>
      <c r="CQ38" s="728">
        <v>3</v>
      </c>
      <c r="CR38" s="728">
        <v>3</v>
      </c>
      <c r="CS38" s="728">
        <v>3</v>
      </c>
      <c r="CT38" s="728">
        <v>3</v>
      </c>
      <c r="CU38" s="728">
        <v>3</v>
      </c>
      <c r="CV38" s="728">
        <v>3</v>
      </c>
      <c r="CW38" s="728">
        <v>3</v>
      </c>
      <c r="CX38" s="728">
        <v>3</v>
      </c>
      <c r="CY38" s="728">
        <v>3</v>
      </c>
      <c r="CZ38" s="728">
        <v>3</v>
      </c>
      <c r="DA38" s="728">
        <v>3</v>
      </c>
      <c r="DB38" s="728">
        <v>3</v>
      </c>
      <c r="DC38" s="728">
        <v>3</v>
      </c>
      <c r="DD38" s="728">
        <v>3</v>
      </c>
      <c r="DE38" s="728">
        <v>3</v>
      </c>
      <c r="DF38" s="728">
        <v>3</v>
      </c>
      <c r="DG38" s="728">
        <v>3</v>
      </c>
      <c r="DH38" s="728">
        <v>3</v>
      </c>
      <c r="DI38" s="728">
        <v>3</v>
      </c>
      <c r="DJ38" s="728">
        <v>3</v>
      </c>
      <c r="DK38" s="728">
        <v>3</v>
      </c>
      <c r="DL38" s="728">
        <v>3</v>
      </c>
      <c r="DM38" s="728">
        <v>3</v>
      </c>
      <c r="DN38" s="728">
        <v>3</v>
      </c>
      <c r="DO38" s="728">
        <v>3</v>
      </c>
      <c r="DP38" s="728">
        <v>3</v>
      </c>
      <c r="DQ38" s="728">
        <v>3</v>
      </c>
      <c r="DR38" s="728">
        <v>3</v>
      </c>
      <c r="DS38" s="728">
        <v>3</v>
      </c>
      <c r="DT38" s="728">
        <v>3</v>
      </c>
      <c r="DU38" s="728">
        <v>3</v>
      </c>
      <c r="DV38" s="728">
        <v>3</v>
      </c>
      <c r="DW38" s="728">
        <v>3</v>
      </c>
      <c r="DX38" s="728">
        <v>3</v>
      </c>
      <c r="DY38" s="728">
        <v>3</v>
      </c>
      <c r="DZ38" s="728">
        <v>3</v>
      </c>
      <c r="EA38" s="728">
        <v>3</v>
      </c>
      <c r="EB38" s="728">
        <v>3</v>
      </c>
      <c r="EC38" s="728">
        <v>3</v>
      </c>
      <c r="ED38" s="728">
        <v>3</v>
      </c>
      <c r="EE38" s="728">
        <v>3</v>
      </c>
      <c r="EF38" s="728">
        <v>3</v>
      </c>
      <c r="EG38" s="728">
        <v>3</v>
      </c>
      <c r="EH38" s="728">
        <v>3</v>
      </c>
      <c r="EI38" s="728">
        <v>3</v>
      </c>
      <c r="EJ38" s="728">
        <v>3</v>
      </c>
      <c r="EK38" s="728">
        <v>3</v>
      </c>
      <c r="EL38" s="728">
        <v>3</v>
      </c>
      <c r="EM38" s="728">
        <v>3</v>
      </c>
      <c r="EN38" s="728">
        <v>3</v>
      </c>
      <c r="EO38" s="728">
        <v>3</v>
      </c>
      <c r="EP38" s="728">
        <v>3</v>
      </c>
      <c r="EQ38" s="728">
        <v>3</v>
      </c>
      <c r="ER38" s="728">
        <v>3</v>
      </c>
      <c r="ES38" s="728">
        <v>3</v>
      </c>
      <c r="ET38" s="728">
        <v>3</v>
      </c>
      <c r="EU38" s="728">
        <v>3</v>
      </c>
      <c r="EV38" s="728">
        <v>3</v>
      </c>
      <c r="EW38" s="728">
        <v>3</v>
      </c>
      <c r="EX38" s="728">
        <v>3</v>
      </c>
      <c r="EY38" s="728">
        <v>3</v>
      </c>
      <c r="EZ38" s="728">
        <v>3</v>
      </c>
      <c r="FA38" s="728">
        <v>3</v>
      </c>
      <c r="FB38" s="728">
        <v>3</v>
      </c>
      <c r="FC38" s="728">
        <v>3</v>
      </c>
      <c r="FD38" s="728">
        <v>3</v>
      </c>
      <c r="FE38" s="728">
        <v>3</v>
      </c>
      <c r="FF38" s="728">
        <v>3</v>
      </c>
      <c r="FG38" s="728">
        <v>3</v>
      </c>
      <c r="FH38" s="728">
        <v>3</v>
      </c>
      <c r="FI38" s="728">
        <v>3</v>
      </c>
      <c r="FJ38" s="728">
        <v>3</v>
      </c>
      <c r="FK38" s="728">
        <v>3</v>
      </c>
      <c r="FL38" s="728">
        <v>3</v>
      </c>
      <c r="FM38" s="728">
        <v>3</v>
      </c>
      <c r="FN38" s="728">
        <v>3</v>
      </c>
      <c r="FO38" s="728">
        <v>3</v>
      </c>
      <c r="FP38" s="728">
        <v>3</v>
      </c>
      <c r="FQ38" s="728">
        <v>3</v>
      </c>
      <c r="FR38" s="728">
        <v>3</v>
      </c>
      <c r="FS38" s="728">
        <v>3</v>
      </c>
      <c r="FT38" s="728">
        <v>3</v>
      </c>
      <c r="FU38" s="728">
        <v>3</v>
      </c>
      <c r="FV38" s="726">
        <f t="shared" si="26"/>
        <v>3</v>
      </c>
      <c r="FW38" s="312"/>
    </row>
    <row r="39" spans="1:179">
      <c r="A39" s="1029"/>
      <c r="B39" s="686" t="s">
        <v>305</v>
      </c>
      <c r="C39" s="687" t="s">
        <v>320</v>
      </c>
      <c r="D39" s="687">
        <v>16.829999999999998</v>
      </c>
      <c r="E39" s="1030"/>
      <c r="F39" s="720" t="s">
        <v>321</v>
      </c>
      <c r="G39" s="683">
        <f t="shared" ref="G39:BR39" si="35">16.8349994240702*G16</f>
        <v>1863449.2512509064</v>
      </c>
      <c r="H39" s="683">
        <f t="shared" si="35"/>
        <v>1863449.2512509064</v>
      </c>
      <c r="I39" s="683">
        <f t="shared" si="35"/>
        <v>1863449.2512509064</v>
      </c>
      <c r="J39" s="683">
        <f t="shared" si="35"/>
        <v>1863449.2512509064</v>
      </c>
      <c r="K39" s="683">
        <f t="shared" si="35"/>
        <v>1863449.2512509064</v>
      </c>
      <c r="L39" s="683">
        <f t="shared" si="35"/>
        <v>1863449.2512509064</v>
      </c>
      <c r="M39" s="683">
        <f t="shared" si="35"/>
        <v>1863449.2512509064</v>
      </c>
      <c r="N39" s="683">
        <f t="shared" si="35"/>
        <v>1863449.2512509064</v>
      </c>
      <c r="O39" s="683">
        <f t="shared" si="35"/>
        <v>1863449.2512509064</v>
      </c>
      <c r="P39" s="683">
        <f t="shared" si="35"/>
        <v>1863449.2512509064</v>
      </c>
      <c r="Q39" s="683">
        <f t="shared" si="35"/>
        <v>1863449.2512509064</v>
      </c>
      <c r="R39" s="683">
        <f t="shared" si="35"/>
        <v>1863449.2512509064</v>
      </c>
      <c r="S39" s="683">
        <f t="shared" si="35"/>
        <v>1863449.2512509064</v>
      </c>
      <c r="T39" s="683">
        <f t="shared" si="35"/>
        <v>1863449.2512509064</v>
      </c>
      <c r="U39" s="683">
        <f t="shared" si="35"/>
        <v>1863449.2512509064</v>
      </c>
      <c r="V39" s="683">
        <f t="shared" si="35"/>
        <v>1863449.2512509064</v>
      </c>
      <c r="W39" s="683">
        <f t="shared" si="35"/>
        <v>1863449.2512509064</v>
      </c>
      <c r="X39" s="683">
        <f t="shared" si="35"/>
        <v>1863449.2512509064</v>
      </c>
      <c r="Y39" s="683">
        <f t="shared" si="35"/>
        <v>1863449.2512509064</v>
      </c>
      <c r="Z39" s="683">
        <f t="shared" si="35"/>
        <v>1863449.2512509064</v>
      </c>
      <c r="AA39" s="683">
        <f t="shared" si="35"/>
        <v>1863449.2512509064</v>
      </c>
      <c r="AB39" s="683">
        <f t="shared" si="35"/>
        <v>1863449.2512509064</v>
      </c>
      <c r="AC39" s="683">
        <f t="shared" si="35"/>
        <v>1863449.2512509064</v>
      </c>
      <c r="AD39" s="683">
        <f t="shared" si="35"/>
        <v>1863449.2512509064</v>
      </c>
      <c r="AE39" s="683">
        <f t="shared" si="35"/>
        <v>1863449.2512509064</v>
      </c>
      <c r="AF39" s="683">
        <f t="shared" si="35"/>
        <v>1863449.2512509064</v>
      </c>
      <c r="AG39" s="683">
        <f t="shared" si="35"/>
        <v>1863449.2512509064</v>
      </c>
      <c r="AH39" s="683">
        <f t="shared" si="35"/>
        <v>1863449.2512509064</v>
      </c>
      <c r="AI39" s="683">
        <f t="shared" si="35"/>
        <v>1863449.2512509064</v>
      </c>
      <c r="AJ39" s="683">
        <f t="shared" si="35"/>
        <v>1863449.2512509064</v>
      </c>
      <c r="AK39" s="683">
        <f t="shared" si="35"/>
        <v>1863449.2512509064</v>
      </c>
      <c r="AL39" s="683">
        <f t="shared" si="35"/>
        <v>1863449.2512509064</v>
      </c>
      <c r="AM39" s="683">
        <f t="shared" si="35"/>
        <v>1863449.2512509064</v>
      </c>
      <c r="AN39" s="683">
        <f t="shared" si="35"/>
        <v>1863449.2512509064</v>
      </c>
      <c r="AO39" s="683">
        <f t="shared" si="35"/>
        <v>1863449.2512509064</v>
      </c>
      <c r="AP39" s="683">
        <f t="shared" si="35"/>
        <v>1863449.2512509064</v>
      </c>
      <c r="AQ39" s="683">
        <f t="shared" si="35"/>
        <v>1863449.2512509064</v>
      </c>
      <c r="AR39" s="683">
        <f t="shared" si="35"/>
        <v>1863449.2512509064</v>
      </c>
      <c r="AS39" s="683">
        <f t="shared" si="35"/>
        <v>1863449.2512509064</v>
      </c>
      <c r="AT39" s="683">
        <f t="shared" si="35"/>
        <v>1863449.2512509064</v>
      </c>
      <c r="AU39" s="721">
        <f t="shared" si="35"/>
        <v>1863449.2512509064</v>
      </c>
      <c r="AV39" s="721">
        <f t="shared" si="35"/>
        <v>1863449.2512509064</v>
      </c>
      <c r="AW39" s="721">
        <f t="shared" si="35"/>
        <v>1863449.2512509064</v>
      </c>
      <c r="AX39" s="721">
        <f t="shared" si="35"/>
        <v>1863449.2512509064</v>
      </c>
      <c r="AY39" s="721">
        <f t="shared" si="35"/>
        <v>1863449.2512509064</v>
      </c>
      <c r="AZ39" s="721">
        <f t="shared" si="35"/>
        <v>1863449.2512509064</v>
      </c>
      <c r="BA39" s="721">
        <f t="shared" si="35"/>
        <v>1863449.2512509064</v>
      </c>
      <c r="BB39" s="721">
        <f t="shared" si="35"/>
        <v>1863449.2512509064</v>
      </c>
      <c r="BC39" s="721">
        <f t="shared" si="35"/>
        <v>1863449.2512509064</v>
      </c>
      <c r="BD39" s="721">
        <f t="shared" si="35"/>
        <v>1863449.2512509064</v>
      </c>
      <c r="BE39" s="721">
        <f t="shared" si="35"/>
        <v>1863449.2512509064</v>
      </c>
      <c r="BF39" s="721">
        <f t="shared" si="35"/>
        <v>1863449.2512509064</v>
      </c>
      <c r="BG39" s="721">
        <f t="shared" si="35"/>
        <v>1863449.2512509064</v>
      </c>
      <c r="BH39" s="721">
        <f t="shared" si="35"/>
        <v>1863449.2512509064</v>
      </c>
      <c r="BI39" s="721">
        <f t="shared" si="35"/>
        <v>1863449.2512509064</v>
      </c>
      <c r="BJ39" s="721">
        <f t="shared" si="35"/>
        <v>1863449.2512509064</v>
      </c>
      <c r="BK39" s="721">
        <f t="shared" si="35"/>
        <v>1863449.2512509064</v>
      </c>
      <c r="BL39" s="721">
        <f t="shared" si="35"/>
        <v>1863449.2512509064</v>
      </c>
      <c r="BM39" s="721">
        <f t="shared" si="35"/>
        <v>1863449.2512509064</v>
      </c>
      <c r="BN39" s="721">
        <f t="shared" si="35"/>
        <v>1863449.2512509064</v>
      </c>
      <c r="BO39" s="721">
        <f t="shared" si="35"/>
        <v>1863449.2512509064</v>
      </c>
      <c r="BP39" s="721">
        <f t="shared" si="35"/>
        <v>1863449.2512509064</v>
      </c>
      <c r="BQ39" s="721">
        <f t="shared" si="35"/>
        <v>1863449.2512509064</v>
      </c>
      <c r="BR39" s="721">
        <f t="shared" si="35"/>
        <v>1863449.2512509064</v>
      </c>
      <c r="BS39" s="721">
        <f t="shared" ref="BS39:CL39" si="36">16.8349994240702*BS16</f>
        <v>1863449.2512509064</v>
      </c>
      <c r="BT39" s="721">
        <f t="shared" si="36"/>
        <v>1863449.2512509064</v>
      </c>
      <c r="BU39" s="721">
        <f t="shared" si="36"/>
        <v>1863449.2512509064</v>
      </c>
      <c r="BV39" s="721">
        <f t="shared" si="36"/>
        <v>1863449.2512509064</v>
      </c>
      <c r="BW39" s="721">
        <f t="shared" si="36"/>
        <v>1863449.2512509064</v>
      </c>
      <c r="BX39" s="721">
        <f t="shared" si="36"/>
        <v>1863449.2512509064</v>
      </c>
      <c r="BY39" s="721">
        <f t="shared" si="36"/>
        <v>1863449.2512509064</v>
      </c>
      <c r="BZ39" s="721">
        <f t="shared" si="36"/>
        <v>1863449.2512509064</v>
      </c>
      <c r="CA39" s="721">
        <f t="shared" si="36"/>
        <v>1863449.2512509064</v>
      </c>
      <c r="CB39" s="721">
        <f t="shared" si="36"/>
        <v>1863449.2512509064</v>
      </c>
      <c r="CC39" s="721">
        <f t="shared" si="36"/>
        <v>1863449.2512509064</v>
      </c>
      <c r="CD39" s="721">
        <f t="shared" si="36"/>
        <v>1863449.2512509064</v>
      </c>
      <c r="CE39" s="721">
        <f t="shared" si="36"/>
        <v>1863449.2512509064</v>
      </c>
      <c r="CF39" s="721">
        <f t="shared" si="36"/>
        <v>1863449.2512509064</v>
      </c>
      <c r="CG39" s="721">
        <f t="shared" si="36"/>
        <v>1863449.2512509064</v>
      </c>
      <c r="CH39" s="721">
        <f t="shared" si="36"/>
        <v>1863449.2512509064</v>
      </c>
      <c r="CI39" s="721">
        <f t="shared" si="36"/>
        <v>1863449.2512509064</v>
      </c>
      <c r="CJ39" s="721">
        <f t="shared" si="36"/>
        <v>1863449.2512509064</v>
      </c>
      <c r="CK39" s="721">
        <f t="shared" si="36"/>
        <v>1863449.2512509064</v>
      </c>
      <c r="CL39" s="720">
        <f t="shared" si="36"/>
        <v>1863449.2512509064</v>
      </c>
      <c r="CM39" s="685">
        <f t="shared" si="0"/>
        <v>1863449.2512509057</v>
      </c>
      <c r="CN39" s="727" t="s">
        <v>218</v>
      </c>
      <c r="CO39" s="728">
        <v>2.4500000000000002</v>
      </c>
      <c r="CP39" s="728">
        <v>2.4500000000000002</v>
      </c>
      <c r="CQ39" s="728">
        <v>2.4500000000000002</v>
      </c>
      <c r="CR39" s="728">
        <v>2.4500000000000002</v>
      </c>
      <c r="CS39" s="728">
        <v>2.4500000000000002</v>
      </c>
      <c r="CT39" s="728">
        <v>2.4500000000000002</v>
      </c>
      <c r="CU39" s="728">
        <v>2.4500000000000002</v>
      </c>
      <c r="CV39" s="728">
        <v>2.4500000000000002</v>
      </c>
      <c r="CW39" s="728">
        <v>2.4500000000000002</v>
      </c>
      <c r="CX39" s="728">
        <v>2.4500000000000002</v>
      </c>
      <c r="CY39" s="728">
        <v>2.4500000000000002</v>
      </c>
      <c r="CZ39" s="728">
        <v>2.4500000000000002</v>
      </c>
      <c r="DA39" s="728">
        <v>2.4500000000000002</v>
      </c>
      <c r="DB39" s="728">
        <v>2.4500000000000002</v>
      </c>
      <c r="DC39" s="728">
        <v>2.4500000000000002</v>
      </c>
      <c r="DD39" s="728">
        <v>2.4500000000000002</v>
      </c>
      <c r="DE39" s="728">
        <v>2.4500000000000002</v>
      </c>
      <c r="DF39" s="728">
        <v>2.4500000000000002</v>
      </c>
      <c r="DG39" s="728">
        <v>2.4500000000000002</v>
      </c>
      <c r="DH39" s="728">
        <v>2.4500000000000002</v>
      </c>
      <c r="DI39" s="728">
        <v>2.4500000000000002</v>
      </c>
      <c r="DJ39" s="728">
        <v>2.4500000000000002</v>
      </c>
      <c r="DK39" s="728">
        <v>2.4500000000000002</v>
      </c>
      <c r="DL39" s="728">
        <v>2.4500000000000002</v>
      </c>
      <c r="DM39" s="728">
        <v>2.4500000000000002</v>
      </c>
      <c r="DN39" s="728">
        <v>2.4500000000000002</v>
      </c>
      <c r="DO39" s="728">
        <v>2.4500000000000002</v>
      </c>
      <c r="DP39" s="728">
        <v>2.4500000000000002</v>
      </c>
      <c r="DQ39" s="728">
        <v>2.4500000000000002</v>
      </c>
      <c r="DR39" s="728">
        <v>2.4500000000000002</v>
      </c>
      <c r="DS39" s="728">
        <v>2.4500000000000002</v>
      </c>
      <c r="DT39" s="728">
        <v>2.4500000000000002</v>
      </c>
      <c r="DU39" s="728">
        <v>2.4500000000000002</v>
      </c>
      <c r="DV39" s="728">
        <v>2.4500000000000002</v>
      </c>
      <c r="DW39" s="728">
        <v>2.4500000000000002</v>
      </c>
      <c r="DX39" s="728">
        <v>2.4500000000000002</v>
      </c>
      <c r="DY39" s="728">
        <v>2.4500000000000002</v>
      </c>
      <c r="DZ39" s="728">
        <v>2.4500000000000002</v>
      </c>
      <c r="EA39" s="728">
        <v>2.4500000000000002</v>
      </c>
      <c r="EB39" s="728">
        <v>2.4500000000000002</v>
      </c>
      <c r="EC39" s="728">
        <v>2.4500000000000002</v>
      </c>
      <c r="ED39" s="728">
        <v>2.4500000000000002</v>
      </c>
      <c r="EE39" s="728">
        <v>2.4500000000000002</v>
      </c>
      <c r="EF39" s="728">
        <v>2.4500000000000002</v>
      </c>
      <c r="EG39" s="728">
        <v>2.4500000000000002</v>
      </c>
      <c r="EH39" s="728">
        <v>2.4500000000000002</v>
      </c>
      <c r="EI39" s="728">
        <v>2.4500000000000002</v>
      </c>
      <c r="EJ39" s="728">
        <v>2.4500000000000002</v>
      </c>
      <c r="EK39" s="728">
        <v>2.4500000000000002</v>
      </c>
      <c r="EL39" s="728">
        <v>2.4500000000000002</v>
      </c>
      <c r="EM39" s="728">
        <v>2.4500000000000002</v>
      </c>
      <c r="EN39" s="728">
        <v>2.4500000000000002</v>
      </c>
      <c r="EO39" s="728">
        <v>2.4500000000000002</v>
      </c>
      <c r="EP39" s="728">
        <v>2.4500000000000002</v>
      </c>
      <c r="EQ39" s="728">
        <v>2.4500000000000002</v>
      </c>
      <c r="ER39" s="728">
        <v>2.4500000000000002</v>
      </c>
      <c r="ES39" s="728">
        <v>2.4500000000000002</v>
      </c>
      <c r="ET39" s="728">
        <v>2.4500000000000002</v>
      </c>
      <c r="EU39" s="728">
        <v>2.4500000000000002</v>
      </c>
      <c r="EV39" s="728">
        <v>2.4500000000000002</v>
      </c>
      <c r="EW39" s="728">
        <v>2.4500000000000002</v>
      </c>
      <c r="EX39" s="728">
        <v>2.4500000000000002</v>
      </c>
      <c r="EY39" s="728">
        <v>2.4500000000000002</v>
      </c>
      <c r="EZ39" s="728">
        <v>2.4500000000000002</v>
      </c>
      <c r="FA39" s="728">
        <v>2.4500000000000002</v>
      </c>
      <c r="FB39" s="728">
        <v>2.4500000000000002</v>
      </c>
      <c r="FC39" s="728">
        <v>2.4500000000000002</v>
      </c>
      <c r="FD39" s="728">
        <v>2.4500000000000002</v>
      </c>
      <c r="FE39" s="728">
        <v>2.4500000000000002</v>
      </c>
      <c r="FF39" s="728">
        <v>2.4500000000000002</v>
      </c>
      <c r="FG39" s="728">
        <v>2.4500000000000002</v>
      </c>
      <c r="FH39" s="728">
        <v>2.4500000000000002</v>
      </c>
      <c r="FI39" s="728">
        <v>2.4500000000000002</v>
      </c>
      <c r="FJ39" s="728">
        <v>2.4500000000000002</v>
      </c>
      <c r="FK39" s="728">
        <v>2.4500000000000002</v>
      </c>
      <c r="FL39" s="728">
        <v>2.4500000000000002</v>
      </c>
      <c r="FM39" s="728">
        <v>2.4500000000000002</v>
      </c>
      <c r="FN39" s="728">
        <v>2.4500000000000002</v>
      </c>
      <c r="FO39" s="728">
        <v>2.4500000000000002</v>
      </c>
      <c r="FP39" s="728">
        <v>2.4500000000000002</v>
      </c>
      <c r="FQ39" s="728">
        <v>2.4500000000000002</v>
      </c>
      <c r="FR39" s="728">
        <v>2.4500000000000002</v>
      </c>
      <c r="FS39" s="728">
        <v>2.4500000000000002</v>
      </c>
      <c r="FT39" s="728">
        <v>2.4500000000000002</v>
      </c>
      <c r="FU39" s="728">
        <v>2.4500000000000002</v>
      </c>
      <c r="FV39" s="726">
        <f t="shared" si="26"/>
        <v>2.450000000000002</v>
      </c>
      <c r="FW39" s="312"/>
    </row>
    <row r="40" spans="1:179">
      <c r="A40" s="1029"/>
      <c r="B40" s="686" t="s">
        <v>305</v>
      </c>
      <c r="C40" s="687" t="s">
        <v>147</v>
      </c>
      <c r="D40" s="687">
        <v>2.8000000000000001E-2</v>
      </c>
      <c r="E40" s="1030"/>
      <c r="F40" s="729" t="s">
        <v>322</v>
      </c>
      <c r="G40" s="683">
        <f t="shared" ref="G40:BR40" si="37">$D$40*G16</f>
        <v>3099.2919999999999</v>
      </c>
      <c r="H40" s="683">
        <f t="shared" si="37"/>
        <v>3099.2919999999999</v>
      </c>
      <c r="I40" s="683">
        <f t="shared" si="37"/>
        <v>3099.2919999999999</v>
      </c>
      <c r="J40" s="683">
        <f t="shared" si="37"/>
        <v>3099.2919999999999</v>
      </c>
      <c r="K40" s="683">
        <f t="shared" si="37"/>
        <v>3099.2919999999999</v>
      </c>
      <c r="L40" s="683">
        <f t="shared" si="37"/>
        <v>3099.2919999999999</v>
      </c>
      <c r="M40" s="683">
        <f t="shared" si="37"/>
        <v>3099.2919999999999</v>
      </c>
      <c r="N40" s="683">
        <f t="shared" si="37"/>
        <v>3099.2919999999999</v>
      </c>
      <c r="O40" s="683">
        <f t="shared" si="37"/>
        <v>3099.2919999999999</v>
      </c>
      <c r="P40" s="683">
        <f t="shared" si="37"/>
        <v>3099.2919999999999</v>
      </c>
      <c r="Q40" s="683">
        <f t="shared" si="37"/>
        <v>3099.2919999999999</v>
      </c>
      <c r="R40" s="683">
        <f t="shared" si="37"/>
        <v>3099.2919999999999</v>
      </c>
      <c r="S40" s="683">
        <f t="shared" si="37"/>
        <v>3099.2919999999999</v>
      </c>
      <c r="T40" s="683">
        <f t="shared" si="37"/>
        <v>3099.2919999999999</v>
      </c>
      <c r="U40" s="683">
        <f t="shared" si="37"/>
        <v>3099.2919999999999</v>
      </c>
      <c r="V40" s="683">
        <f t="shared" si="37"/>
        <v>3099.2919999999999</v>
      </c>
      <c r="W40" s="683">
        <f t="shared" si="37"/>
        <v>3099.2919999999999</v>
      </c>
      <c r="X40" s="683">
        <f t="shared" si="37"/>
        <v>3099.2919999999999</v>
      </c>
      <c r="Y40" s="683">
        <f t="shared" si="37"/>
        <v>3099.2919999999999</v>
      </c>
      <c r="Z40" s="683">
        <f t="shared" si="37"/>
        <v>3099.2919999999999</v>
      </c>
      <c r="AA40" s="683">
        <f t="shared" si="37"/>
        <v>3099.2919999999999</v>
      </c>
      <c r="AB40" s="683">
        <f t="shared" si="37"/>
        <v>3099.2919999999999</v>
      </c>
      <c r="AC40" s="683">
        <f t="shared" si="37"/>
        <v>3099.2919999999999</v>
      </c>
      <c r="AD40" s="683">
        <f t="shared" si="37"/>
        <v>3099.2919999999999</v>
      </c>
      <c r="AE40" s="683">
        <f t="shared" si="37"/>
        <v>3099.2919999999999</v>
      </c>
      <c r="AF40" s="683">
        <f t="shared" si="37"/>
        <v>3099.2919999999999</v>
      </c>
      <c r="AG40" s="683">
        <f t="shared" si="37"/>
        <v>3099.2919999999999</v>
      </c>
      <c r="AH40" s="683">
        <f t="shared" si="37"/>
        <v>3099.2919999999999</v>
      </c>
      <c r="AI40" s="683">
        <f t="shared" si="37"/>
        <v>3099.2919999999999</v>
      </c>
      <c r="AJ40" s="683">
        <f t="shared" si="37"/>
        <v>3099.2919999999999</v>
      </c>
      <c r="AK40" s="683">
        <f t="shared" si="37"/>
        <v>3099.2919999999999</v>
      </c>
      <c r="AL40" s="683">
        <f t="shared" si="37"/>
        <v>3099.2919999999999</v>
      </c>
      <c r="AM40" s="683">
        <f t="shared" si="37"/>
        <v>3099.2919999999999</v>
      </c>
      <c r="AN40" s="683">
        <f t="shared" si="37"/>
        <v>3099.2919999999999</v>
      </c>
      <c r="AO40" s="683">
        <f t="shared" si="37"/>
        <v>3099.2919999999999</v>
      </c>
      <c r="AP40" s="683">
        <f t="shared" si="37"/>
        <v>3099.2919999999999</v>
      </c>
      <c r="AQ40" s="683">
        <f t="shared" si="37"/>
        <v>3099.2919999999999</v>
      </c>
      <c r="AR40" s="683">
        <f t="shared" si="37"/>
        <v>3099.2919999999999</v>
      </c>
      <c r="AS40" s="683">
        <f t="shared" si="37"/>
        <v>3099.2919999999999</v>
      </c>
      <c r="AT40" s="683">
        <f t="shared" si="37"/>
        <v>3099.2919999999999</v>
      </c>
      <c r="AU40" s="721">
        <f t="shared" si="37"/>
        <v>3099.2919999999999</v>
      </c>
      <c r="AV40" s="721">
        <f t="shared" si="37"/>
        <v>3099.2919999999999</v>
      </c>
      <c r="AW40" s="721">
        <f t="shared" si="37"/>
        <v>3099.2919999999999</v>
      </c>
      <c r="AX40" s="721">
        <f t="shared" si="37"/>
        <v>3099.2919999999999</v>
      </c>
      <c r="AY40" s="721">
        <f t="shared" si="37"/>
        <v>3099.2919999999999</v>
      </c>
      <c r="AZ40" s="721">
        <f t="shared" si="37"/>
        <v>3099.2919999999999</v>
      </c>
      <c r="BA40" s="721">
        <f t="shared" si="37"/>
        <v>3099.2919999999999</v>
      </c>
      <c r="BB40" s="721">
        <f t="shared" si="37"/>
        <v>3099.2919999999999</v>
      </c>
      <c r="BC40" s="721">
        <f t="shared" si="37"/>
        <v>3099.2919999999999</v>
      </c>
      <c r="BD40" s="721">
        <f t="shared" si="37"/>
        <v>3099.2919999999999</v>
      </c>
      <c r="BE40" s="721">
        <f t="shared" si="37"/>
        <v>3099.2919999999999</v>
      </c>
      <c r="BF40" s="721">
        <f t="shared" si="37"/>
        <v>3099.2919999999999</v>
      </c>
      <c r="BG40" s="721">
        <f t="shared" si="37"/>
        <v>3099.2919999999999</v>
      </c>
      <c r="BH40" s="721">
        <f t="shared" si="37"/>
        <v>3099.2919999999999</v>
      </c>
      <c r="BI40" s="721">
        <f t="shared" si="37"/>
        <v>3099.2919999999999</v>
      </c>
      <c r="BJ40" s="721">
        <f t="shared" si="37"/>
        <v>3099.2919999999999</v>
      </c>
      <c r="BK40" s="721">
        <f t="shared" si="37"/>
        <v>3099.2919999999999</v>
      </c>
      <c r="BL40" s="721">
        <f t="shared" si="37"/>
        <v>3099.2919999999999</v>
      </c>
      <c r="BM40" s="721">
        <f t="shared" si="37"/>
        <v>3099.2919999999999</v>
      </c>
      <c r="BN40" s="721">
        <f t="shared" si="37"/>
        <v>3099.2919999999999</v>
      </c>
      <c r="BO40" s="721">
        <f t="shared" si="37"/>
        <v>3099.2919999999999</v>
      </c>
      <c r="BP40" s="721">
        <f t="shared" si="37"/>
        <v>3099.2919999999999</v>
      </c>
      <c r="BQ40" s="721">
        <f t="shared" si="37"/>
        <v>3099.2919999999999</v>
      </c>
      <c r="BR40" s="721">
        <f t="shared" si="37"/>
        <v>3099.2919999999999</v>
      </c>
      <c r="BS40" s="721">
        <f t="shared" ref="BS40:CL40" si="38">$D$40*BS16</f>
        <v>3099.2919999999999</v>
      </c>
      <c r="BT40" s="721">
        <f t="shared" si="38"/>
        <v>3099.2919999999999</v>
      </c>
      <c r="BU40" s="721">
        <f t="shared" si="38"/>
        <v>3099.2919999999999</v>
      </c>
      <c r="BV40" s="721">
        <f t="shared" si="38"/>
        <v>3099.2919999999999</v>
      </c>
      <c r="BW40" s="721">
        <f t="shared" si="38"/>
        <v>3099.2919999999999</v>
      </c>
      <c r="BX40" s="721">
        <f t="shared" si="38"/>
        <v>3099.2919999999999</v>
      </c>
      <c r="BY40" s="721">
        <f t="shared" si="38"/>
        <v>3099.2919999999999</v>
      </c>
      <c r="BZ40" s="721">
        <f t="shared" si="38"/>
        <v>3099.2919999999999</v>
      </c>
      <c r="CA40" s="721">
        <f t="shared" si="38"/>
        <v>3099.2919999999999</v>
      </c>
      <c r="CB40" s="721">
        <f t="shared" si="38"/>
        <v>3099.2919999999999</v>
      </c>
      <c r="CC40" s="721">
        <f t="shared" si="38"/>
        <v>3099.2919999999999</v>
      </c>
      <c r="CD40" s="721">
        <f t="shared" si="38"/>
        <v>3099.2919999999999</v>
      </c>
      <c r="CE40" s="721">
        <f t="shared" si="38"/>
        <v>3099.2919999999999</v>
      </c>
      <c r="CF40" s="721">
        <f t="shared" si="38"/>
        <v>3099.2919999999999</v>
      </c>
      <c r="CG40" s="721">
        <f t="shared" si="38"/>
        <v>3099.2919999999999</v>
      </c>
      <c r="CH40" s="721">
        <f t="shared" si="38"/>
        <v>3099.2919999999999</v>
      </c>
      <c r="CI40" s="721">
        <f t="shared" si="38"/>
        <v>3099.2919999999999</v>
      </c>
      <c r="CJ40" s="721">
        <f t="shared" si="38"/>
        <v>3099.2919999999999</v>
      </c>
      <c r="CK40" s="721">
        <f t="shared" si="38"/>
        <v>3099.2919999999999</v>
      </c>
      <c r="CL40" s="720">
        <f t="shared" si="38"/>
        <v>3099.2919999999999</v>
      </c>
      <c r="CM40" s="685">
        <f t="shared" si="0"/>
        <v>3099.291999999994</v>
      </c>
      <c r="CN40" s="727" t="s">
        <v>219</v>
      </c>
      <c r="CO40" s="728">
        <v>752</v>
      </c>
      <c r="CP40" s="728">
        <v>752</v>
      </c>
      <c r="CQ40" s="728">
        <v>752</v>
      </c>
      <c r="CR40" s="728">
        <v>752</v>
      </c>
      <c r="CS40" s="728">
        <v>752</v>
      </c>
      <c r="CT40" s="728">
        <v>752</v>
      </c>
      <c r="CU40" s="728">
        <v>752</v>
      </c>
      <c r="CV40" s="728">
        <v>752</v>
      </c>
      <c r="CW40" s="728">
        <v>752</v>
      </c>
      <c r="CX40" s="728">
        <v>752</v>
      </c>
      <c r="CY40" s="728">
        <v>752</v>
      </c>
      <c r="CZ40" s="728">
        <v>752</v>
      </c>
      <c r="DA40" s="728">
        <v>752</v>
      </c>
      <c r="DB40" s="728">
        <v>752</v>
      </c>
      <c r="DC40" s="728">
        <v>752</v>
      </c>
      <c r="DD40" s="728">
        <v>752</v>
      </c>
      <c r="DE40" s="728">
        <v>752</v>
      </c>
      <c r="DF40" s="728">
        <v>752</v>
      </c>
      <c r="DG40" s="728">
        <v>752</v>
      </c>
      <c r="DH40" s="728">
        <v>752</v>
      </c>
      <c r="DI40" s="728">
        <v>752</v>
      </c>
      <c r="DJ40" s="728">
        <v>752</v>
      </c>
      <c r="DK40" s="728">
        <v>752</v>
      </c>
      <c r="DL40" s="728">
        <v>752</v>
      </c>
      <c r="DM40" s="728">
        <v>752</v>
      </c>
      <c r="DN40" s="728">
        <v>752</v>
      </c>
      <c r="DO40" s="728">
        <v>752</v>
      </c>
      <c r="DP40" s="728">
        <v>752</v>
      </c>
      <c r="DQ40" s="728">
        <v>752</v>
      </c>
      <c r="DR40" s="728">
        <v>752</v>
      </c>
      <c r="DS40" s="728">
        <v>752</v>
      </c>
      <c r="DT40" s="728">
        <v>752</v>
      </c>
      <c r="DU40" s="728">
        <v>752</v>
      </c>
      <c r="DV40" s="728">
        <v>752</v>
      </c>
      <c r="DW40" s="728">
        <v>752</v>
      </c>
      <c r="DX40" s="728">
        <v>752</v>
      </c>
      <c r="DY40" s="728">
        <v>752</v>
      </c>
      <c r="DZ40" s="728">
        <v>752</v>
      </c>
      <c r="EA40" s="728">
        <v>752</v>
      </c>
      <c r="EB40" s="728">
        <v>752</v>
      </c>
      <c r="EC40" s="728">
        <v>752</v>
      </c>
      <c r="ED40" s="728">
        <v>752</v>
      </c>
      <c r="EE40" s="728">
        <v>752</v>
      </c>
      <c r="EF40" s="728">
        <v>752</v>
      </c>
      <c r="EG40" s="728">
        <v>752</v>
      </c>
      <c r="EH40" s="728">
        <v>752</v>
      </c>
      <c r="EI40" s="728">
        <v>752</v>
      </c>
      <c r="EJ40" s="728">
        <v>752</v>
      </c>
      <c r="EK40" s="728">
        <v>752</v>
      </c>
      <c r="EL40" s="728">
        <v>752</v>
      </c>
      <c r="EM40" s="728">
        <v>752</v>
      </c>
      <c r="EN40" s="728">
        <v>752</v>
      </c>
      <c r="EO40" s="728">
        <v>752</v>
      </c>
      <c r="EP40" s="728">
        <v>752</v>
      </c>
      <c r="EQ40" s="728">
        <v>752</v>
      </c>
      <c r="ER40" s="728">
        <v>752</v>
      </c>
      <c r="ES40" s="728">
        <v>752</v>
      </c>
      <c r="ET40" s="728">
        <v>752</v>
      </c>
      <c r="EU40" s="728">
        <v>752</v>
      </c>
      <c r="EV40" s="728">
        <v>752</v>
      </c>
      <c r="EW40" s="728">
        <v>752</v>
      </c>
      <c r="EX40" s="728">
        <v>752</v>
      </c>
      <c r="EY40" s="728">
        <v>752</v>
      </c>
      <c r="EZ40" s="728">
        <v>752</v>
      </c>
      <c r="FA40" s="728">
        <v>752</v>
      </c>
      <c r="FB40" s="728">
        <v>752</v>
      </c>
      <c r="FC40" s="728">
        <v>752</v>
      </c>
      <c r="FD40" s="728">
        <v>752</v>
      </c>
      <c r="FE40" s="728">
        <v>752</v>
      </c>
      <c r="FF40" s="728">
        <v>752</v>
      </c>
      <c r="FG40" s="728">
        <v>752</v>
      </c>
      <c r="FH40" s="728">
        <v>752</v>
      </c>
      <c r="FI40" s="728">
        <v>752</v>
      </c>
      <c r="FJ40" s="728">
        <v>752</v>
      </c>
      <c r="FK40" s="728">
        <v>752</v>
      </c>
      <c r="FL40" s="728">
        <v>752</v>
      </c>
      <c r="FM40" s="728">
        <v>752</v>
      </c>
      <c r="FN40" s="728">
        <v>752</v>
      </c>
      <c r="FO40" s="728">
        <v>752</v>
      </c>
      <c r="FP40" s="728">
        <v>752</v>
      </c>
      <c r="FQ40" s="728">
        <v>752</v>
      </c>
      <c r="FR40" s="728">
        <v>752</v>
      </c>
      <c r="FS40" s="728">
        <v>752</v>
      </c>
      <c r="FT40" s="728">
        <v>752</v>
      </c>
      <c r="FU40" s="728">
        <v>752</v>
      </c>
      <c r="FV40" s="726">
        <f t="shared" si="26"/>
        <v>752</v>
      </c>
      <c r="FW40" s="312"/>
    </row>
    <row r="41" spans="1:179">
      <c r="A41" s="730"/>
      <c r="B41" s="731" t="s">
        <v>305</v>
      </c>
      <c r="C41" s="732" t="s">
        <v>323</v>
      </c>
      <c r="D41" s="732"/>
      <c r="E41" s="733"/>
      <c r="F41" s="734" t="s">
        <v>324</v>
      </c>
      <c r="G41" s="735">
        <f t="shared" ref="G41:BR41" si="39">G34*CP35+G36*CP36+G37*CP34+G38*CP37+G35*CP38+CP39*G39+G40*CP40</f>
        <v>577198522.33817685</v>
      </c>
      <c r="H41" s="735">
        <f t="shared" si="39"/>
        <v>577198522.33817685</v>
      </c>
      <c r="I41" s="735">
        <f t="shared" si="39"/>
        <v>577198522.33817685</v>
      </c>
      <c r="J41" s="735">
        <f t="shared" si="39"/>
        <v>577200381.91337681</v>
      </c>
      <c r="K41" s="735">
        <f t="shared" si="39"/>
        <v>577631515.5683769</v>
      </c>
      <c r="L41" s="735">
        <f t="shared" si="39"/>
        <v>577632135.42677689</v>
      </c>
      <c r="M41" s="735">
        <f t="shared" si="39"/>
        <v>577632135.42677689</v>
      </c>
      <c r="N41" s="735">
        <f t="shared" si="39"/>
        <v>578843052.84126496</v>
      </c>
      <c r="O41" s="735">
        <f t="shared" si="39"/>
        <v>577632755.28517687</v>
      </c>
      <c r="P41" s="735">
        <f t="shared" si="39"/>
        <v>578845377.31026495</v>
      </c>
      <c r="Q41" s="735">
        <f t="shared" si="39"/>
        <v>580055674.86635494</v>
      </c>
      <c r="R41" s="735">
        <f t="shared" si="39"/>
        <v>581265972.42244482</v>
      </c>
      <c r="S41" s="735">
        <f t="shared" si="39"/>
        <v>582476889.83693278</v>
      </c>
      <c r="T41" s="735">
        <f t="shared" si="39"/>
        <v>583689275.15835869</v>
      </c>
      <c r="U41" s="735">
        <f t="shared" si="39"/>
        <v>584899797.6274364</v>
      </c>
      <c r="V41" s="735">
        <f t="shared" si="39"/>
        <v>586209476.41527855</v>
      </c>
      <c r="W41" s="735">
        <f t="shared" si="39"/>
        <v>587383845.56370699</v>
      </c>
      <c r="X41" s="735">
        <f t="shared" si="39"/>
        <v>588558214.712134</v>
      </c>
      <c r="Y41" s="735">
        <f t="shared" si="39"/>
        <v>589732583.86056244</v>
      </c>
      <c r="Z41" s="735">
        <f t="shared" si="39"/>
        <v>590906953.00899112</v>
      </c>
      <c r="AA41" s="735">
        <f t="shared" si="39"/>
        <v>592081322.15741789</v>
      </c>
      <c r="AB41" s="735">
        <f t="shared" si="39"/>
        <v>593255691.30584645</v>
      </c>
      <c r="AC41" s="735">
        <f t="shared" si="39"/>
        <v>594430060.45427513</v>
      </c>
      <c r="AD41" s="735">
        <f t="shared" si="39"/>
        <v>595604429.6027019</v>
      </c>
      <c r="AE41" s="735">
        <f t="shared" si="39"/>
        <v>596780435.5269295</v>
      </c>
      <c r="AF41" s="735">
        <f t="shared" si="39"/>
        <v>597953167.89955723</v>
      </c>
      <c r="AG41" s="735">
        <f t="shared" si="39"/>
        <v>599127949.17480946</v>
      </c>
      <c r="AH41" s="735">
        <f t="shared" si="39"/>
        <v>600301906.19641459</v>
      </c>
      <c r="AI41" s="735">
        <f t="shared" si="39"/>
        <v>601476275.34484124</v>
      </c>
      <c r="AJ41" s="735">
        <f t="shared" si="39"/>
        <v>602650644.4932698</v>
      </c>
      <c r="AK41" s="735">
        <f t="shared" si="39"/>
        <v>603825013.64169848</v>
      </c>
      <c r="AL41" s="735">
        <f t="shared" si="39"/>
        <v>604999382.79012525</v>
      </c>
      <c r="AM41" s="735">
        <f t="shared" si="39"/>
        <v>606173751.93855393</v>
      </c>
      <c r="AN41" s="735">
        <f t="shared" si="39"/>
        <v>607348121.0869807</v>
      </c>
      <c r="AO41" s="735">
        <f t="shared" si="39"/>
        <v>608522490.23540938</v>
      </c>
      <c r="AP41" s="735">
        <f t="shared" si="39"/>
        <v>609696859.38383782</v>
      </c>
      <c r="AQ41" s="735">
        <f t="shared" si="39"/>
        <v>610871228.53226459</v>
      </c>
      <c r="AR41" s="735">
        <f t="shared" si="39"/>
        <v>612045597.68069339</v>
      </c>
      <c r="AS41" s="735">
        <f t="shared" si="39"/>
        <v>613219966.82912195</v>
      </c>
      <c r="AT41" s="735">
        <f t="shared" si="39"/>
        <v>480358962.52906466</v>
      </c>
      <c r="AU41" s="736">
        <f t="shared" si="39"/>
        <v>585156042.40356481</v>
      </c>
      <c r="AV41" s="736">
        <f t="shared" si="39"/>
        <v>588266305.13866127</v>
      </c>
      <c r="AW41" s="736">
        <f t="shared" si="39"/>
        <v>568327083.47309601</v>
      </c>
      <c r="AX41" s="736">
        <f t="shared" si="39"/>
        <v>617244859.47590363</v>
      </c>
      <c r="AY41" s="736">
        <f t="shared" si="39"/>
        <v>668882724.94326699</v>
      </c>
      <c r="AZ41" s="736">
        <f t="shared" si="39"/>
        <v>683714063.11193705</v>
      </c>
      <c r="BA41" s="736">
        <f t="shared" si="39"/>
        <v>693159965.16293657</v>
      </c>
      <c r="BB41" s="736">
        <f t="shared" si="39"/>
        <v>682620157.33884144</v>
      </c>
      <c r="BC41" s="736">
        <f t="shared" si="39"/>
        <v>731160553.64582551</v>
      </c>
      <c r="BD41" s="736">
        <f t="shared" si="39"/>
        <v>692170600.59429467</v>
      </c>
      <c r="BE41" s="736">
        <f t="shared" si="39"/>
        <v>651792823.8582499</v>
      </c>
      <c r="BF41" s="736">
        <f t="shared" si="39"/>
        <v>644961217.25700843</v>
      </c>
      <c r="BG41" s="736">
        <f t="shared" si="39"/>
        <v>695591598.84839642</v>
      </c>
      <c r="BH41" s="736">
        <f t="shared" si="39"/>
        <v>625766224.5939306</v>
      </c>
      <c r="BI41" s="736">
        <f t="shared" si="39"/>
        <v>558683796.64690077</v>
      </c>
      <c r="BJ41" s="736">
        <f t="shared" si="39"/>
        <v>546952364.98086476</v>
      </c>
      <c r="BK41" s="736">
        <f t="shared" si="39"/>
        <v>578120284.28986478</v>
      </c>
      <c r="BL41" s="736">
        <f t="shared" si="39"/>
        <v>624589574.23636472</v>
      </c>
      <c r="BM41" s="736">
        <f t="shared" si="39"/>
        <v>576886323.31786478</v>
      </c>
      <c r="BN41" s="736">
        <f t="shared" si="39"/>
        <v>560357865.49526465</v>
      </c>
      <c r="BO41" s="736">
        <f t="shared" si="39"/>
        <v>659371843.60016477</v>
      </c>
      <c r="BP41" s="736">
        <f t="shared" si="39"/>
        <v>648509035.44926488</v>
      </c>
      <c r="BQ41" s="736">
        <f t="shared" si="39"/>
        <v>708137089.06026483</v>
      </c>
      <c r="BR41" s="736">
        <f t="shared" si="39"/>
        <v>613603569.22846472</v>
      </c>
      <c r="BS41" s="736">
        <f t="shared" ref="BS41:CL41" si="40">BS34*FB35+BS36*FB36+BS37*FB34+BS38*FB37+BS35*FB38+FB39*BS39+BS40*FB40</f>
        <v>590228952.48026478</v>
      </c>
      <c r="BT41" s="736">
        <f t="shared" si="40"/>
        <v>438321560.52246475</v>
      </c>
      <c r="BU41" s="736">
        <f t="shared" si="40"/>
        <v>526692248.90126473</v>
      </c>
      <c r="BV41" s="736">
        <f t="shared" si="40"/>
        <v>505072761.21266472</v>
      </c>
      <c r="BW41" s="736">
        <f t="shared" si="40"/>
        <v>382372499.34226471</v>
      </c>
      <c r="BX41" s="736">
        <f t="shared" si="40"/>
        <v>367778044.00326473</v>
      </c>
      <c r="BY41" s="736">
        <f t="shared" si="40"/>
        <v>419785425.61786473</v>
      </c>
      <c r="BZ41" s="736">
        <f t="shared" si="40"/>
        <v>482715099.65196478</v>
      </c>
      <c r="CA41" s="736">
        <f t="shared" si="40"/>
        <v>504034642.28836477</v>
      </c>
      <c r="CB41" s="736">
        <f t="shared" si="40"/>
        <v>549559943.23616469</v>
      </c>
      <c r="CC41" s="736">
        <f t="shared" si="40"/>
        <v>589411956.97126472</v>
      </c>
      <c r="CD41" s="736">
        <f t="shared" si="40"/>
        <v>668945943.99966466</v>
      </c>
      <c r="CE41" s="736">
        <f t="shared" si="40"/>
        <v>776799169.30196488</v>
      </c>
      <c r="CF41" s="736">
        <f t="shared" si="40"/>
        <v>695542562.57326472</v>
      </c>
      <c r="CG41" s="736">
        <f t="shared" si="40"/>
        <v>591919062.82126486</v>
      </c>
      <c r="CH41" s="736">
        <f t="shared" si="40"/>
        <v>586536821.26516473</v>
      </c>
      <c r="CI41" s="736">
        <f t="shared" si="40"/>
        <v>634447337.33616483</v>
      </c>
      <c r="CJ41" s="736">
        <f t="shared" si="40"/>
        <v>707840132.61106479</v>
      </c>
      <c r="CK41" s="736">
        <f t="shared" si="40"/>
        <v>807241289.76906478</v>
      </c>
      <c r="CL41" s="737">
        <f t="shared" si="40"/>
        <v>866834210.69146478</v>
      </c>
      <c r="CM41" s="738">
        <f t="shared" si="0"/>
        <v>600702624.90250778</v>
      </c>
      <c r="CN41" s="739" t="s">
        <v>180</v>
      </c>
      <c r="CO41" s="740">
        <f t="shared" ref="CO41:CU41" si="41">0.75*CO36</f>
        <v>27.734853846153825</v>
      </c>
      <c r="CP41" s="740">
        <f t="shared" si="41"/>
        <v>27.734853846153825</v>
      </c>
      <c r="CQ41" s="740">
        <f t="shared" si="41"/>
        <v>27.734853846153825</v>
      </c>
      <c r="CR41" s="740">
        <f t="shared" si="41"/>
        <v>27.734853846153825</v>
      </c>
      <c r="CS41" s="740">
        <f t="shared" si="41"/>
        <v>27.734853846153825</v>
      </c>
      <c r="CT41" s="740">
        <f t="shared" si="41"/>
        <v>27.734853846153825</v>
      </c>
      <c r="CU41" s="740">
        <f t="shared" si="41"/>
        <v>27.734853846153825</v>
      </c>
      <c r="CV41" s="740">
        <f>0.75*CV36</f>
        <v>27.734853846153825</v>
      </c>
      <c r="CW41" s="740">
        <f>0.75*CW36</f>
        <v>28.317217948717946</v>
      </c>
      <c r="CX41" s="740">
        <f t="shared" ref="CX41:EB41" si="42">0.75*CX36</f>
        <v>27.734853846153825</v>
      </c>
      <c r="CY41" s="740">
        <f t="shared" si="42"/>
        <v>28.317217948717946</v>
      </c>
      <c r="CZ41" s="740">
        <f t="shared" si="42"/>
        <v>28.899582051282074</v>
      </c>
      <c r="DA41" s="740">
        <f t="shared" si="42"/>
        <v>29.481946153846124</v>
      </c>
      <c r="DB41" s="740">
        <f t="shared" si="42"/>
        <v>30.064310256410252</v>
      </c>
      <c r="DC41" s="740">
        <f t="shared" si="42"/>
        <v>30.646674358974373</v>
      </c>
      <c r="DD41" s="740">
        <f t="shared" si="42"/>
        <v>31.229038461538501</v>
      </c>
      <c r="DE41" s="740">
        <f t="shared" si="42"/>
        <v>31.811402564102551</v>
      </c>
      <c r="DF41" s="740">
        <f t="shared" si="42"/>
        <v>32.393766666666671</v>
      </c>
      <c r="DG41" s="740">
        <f t="shared" si="42"/>
        <v>32.976130769230799</v>
      </c>
      <c r="DH41" s="740">
        <f t="shared" si="42"/>
        <v>33.558494871794849</v>
      </c>
      <c r="DI41" s="740">
        <f t="shared" si="42"/>
        <v>34.140858974358977</v>
      </c>
      <c r="DJ41" s="740">
        <f t="shared" si="42"/>
        <v>34.723223076923098</v>
      </c>
      <c r="DK41" s="740">
        <f t="shared" si="42"/>
        <v>35.305587179487148</v>
      </c>
      <c r="DL41" s="740">
        <f t="shared" si="42"/>
        <v>35.887951282051276</v>
      </c>
      <c r="DM41" s="740">
        <f t="shared" si="42"/>
        <v>36.470315384615397</v>
      </c>
      <c r="DN41" s="740">
        <f t="shared" si="42"/>
        <v>37.052679487179525</v>
      </c>
      <c r="DO41" s="740">
        <f t="shared" si="42"/>
        <v>37.635043589743574</v>
      </c>
      <c r="DP41" s="740">
        <f t="shared" si="42"/>
        <v>38.217407692307702</v>
      </c>
      <c r="DQ41" s="740">
        <f t="shared" si="42"/>
        <v>38.799771794871823</v>
      </c>
      <c r="DR41" s="740">
        <f t="shared" si="42"/>
        <v>39.382135897435873</v>
      </c>
      <c r="DS41" s="740">
        <f t="shared" si="42"/>
        <v>39.964500000000001</v>
      </c>
      <c r="DT41" s="740">
        <f t="shared" si="42"/>
        <v>40.546864102564122</v>
      </c>
      <c r="DU41" s="740">
        <f t="shared" si="42"/>
        <v>41.129228205128179</v>
      </c>
      <c r="DV41" s="740">
        <f t="shared" si="42"/>
        <v>41.7115923076923</v>
      </c>
      <c r="DW41" s="740">
        <f t="shared" si="42"/>
        <v>42.293956410256428</v>
      </c>
      <c r="DX41" s="740">
        <f t="shared" si="42"/>
        <v>42.876320512820548</v>
      </c>
      <c r="DY41" s="740">
        <f t="shared" si="42"/>
        <v>43.458684615384598</v>
      </c>
      <c r="DZ41" s="740">
        <f t="shared" si="42"/>
        <v>44.041048717948726</v>
      </c>
      <c r="EA41" s="740">
        <f t="shared" si="42"/>
        <v>44.623412820512847</v>
      </c>
      <c r="EB41" s="740">
        <f t="shared" si="42"/>
        <v>45.205776923076904</v>
      </c>
      <c r="EC41" s="740">
        <f>0.75*EC36</f>
        <v>42.075000000000003</v>
      </c>
      <c r="ED41" s="740">
        <f t="shared" ref="ED41:FU41" si="43">0.75*ED36</f>
        <v>43.2</v>
      </c>
      <c r="EE41" s="740">
        <f t="shared" si="43"/>
        <v>41.775000000000006</v>
      </c>
      <c r="EF41" s="740">
        <f t="shared" si="43"/>
        <v>44.962500000000006</v>
      </c>
      <c r="EG41" s="740">
        <f t="shared" si="43"/>
        <v>51.427499999999995</v>
      </c>
      <c r="EH41" s="740">
        <f t="shared" si="43"/>
        <v>59.775000000000006</v>
      </c>
      <c r="EI41" s="740">
        <f t="shared" si="43"/>
        <v>63.757500000000007</v>
      </c>
      <c r="EJ41" s="740">
        <f t="shared" si="43"/>
        <v>55.064999999999998</v>
      </c>
      <c r="EK41" s="740">
        <f t="shared" si="43"/>
        <v>51.1875</v>
      </c>
      <c r="EL41" s="740">
        <f t="shared" si="43"/>
        <v>39.9375</v>
      </c>
      <c r="EM41" s="740">
        <f t="shared" si="43"/>
        <v>49.094999999999999</v>
      </c>
      <c r="EN41" s="740">
        <f t="shared" si="43"/>
        <v>45.697499999999998</v>
      </c>
      <c r="EO41" s="740">
        <f t="shared" si="43"/>
        <v>44.775000000000006</v>
      </c>
      <c r="EP41" s="740">
        <f t="shared" si="43"/>
        <v>44.204999999999998</v>
      </c>
      <c r="EQ41" s="740">
        <f t="shared" si="43"/>
        <v>43.462500000000006</v>
      </c>
      <c r="ER41" s="740">
        <f t="shared" si="43"/>
        <v>58.86</v>
      </c>
      <c r="ES41" s="740">
        <f t="shared" si="43"/>
        <v>61.882500000000007</v>
      </c>
      <c r="ET41" s="740">
        <f t="shared" si="43"/>
        <v>62.699999999999996</v>
      </c>
      <c r="EU41" s="740">
        <f t="shared" si="43"/>
        <v>76.612500000000011</v>
      </c>
      <c r="EV41" s="740">
        <f t="shared" si="43"/>
        <v>55.935000000000002</v>
      </c>
      <c r="EW41" s="740">
        <f t="shared" si="43"/>
        <v>58.837500000000006</v>
      </c>
      <c r="EX41" s="740">
        <f t="shared" si="43"/>
        <v>57.652500000000003</v>
      </c>
      <c r="EY41" s="740">
        <f t="shared" si="43"/>
        <v>61.792500000000004</v>
      </c>
      <c r="EZ41" s="740">
        <f t="shared" si="43"/>
        <v>58.41</v>
      </c>
      <c r="FA41" s="740">
        <f t="shared" si="43"/>
        <v>56.542500000000004</v>
      </c>
      <c r="FB41" s="740">
        <f t="shared" si="43"/>
        <v>50.137499999999996</v>
      </c>
      <c r="FC41" s="740">
        <f t="shared" si="43"/>
        <v>48.435000000000002</v>
      </c>
      <c r="FD41" s="740">
        <f t="shared" si="43"/>
        <v>63.727499999999999</v>
      </c>
      <c r="FE41" s="740">
        <f t="shared" si="43"/>
        <v>58.552499999999995</v>
      </c>
      <c r="FF41" s="740">
        <f t="shared" si="43"/>
        <v>53.377499999999998</v>
      </c>
      <c r="FG41" s="740">
        <f t="shared" si="43"/>
        <v>51.172499999999999</v>
      </c>
      <c r="FH41" s="740">
        <f t="shared" si="43"/>
        <v>51.900000000000006</v>
      </c>
      <c r="FI41" s="740">
        <f t="shared" si="43"/>
        <v>53.37</v>
      </c>
      <c r="FJ41" s="740">
        <f t="shared" si="43"/>
        <v>62.175000000000004</v>
      </c>
      <c r="FK41" s="740">
        <f t="shared" si="43"/>
        <v>66.66</v>
      </c>
      <c r="FL41" s="740">
        <f t="shared" si="43"/>
        <v>60.105000000000004</v>
      </c>
      <c r="FM41" s="740">
        <f t="shared" si="43"/>
        <v>67.072500000000005</v>
      </c>
      <c r="FN41" s="740">
        <f t="shared" si="43"/>
        <v>77.085000000000008</v>
      </c>
      <c r="FO41" s="740">
        <f t="shared" si="43"/>
        <v>76.6875</v>
      </c>
      <c r="FP41" s="740">
        <f t="shared" si="43"/>
        <v>75.239999999999995</v>
      </c>
      <c r="FQ41" s="740">
        <f t="shared" si="43"/>
        <v>61.005000000000003</v>
      </c>
      <c r="FR41" s="740">
        <f t="shared" si="43"/>
        <v>68.002499999999998</v>
      </c>
      <c r="FS41" s="740">
        <f t="shared" si="43"/>
        <v>68.894999999999996</v>
      </c>
      <c r="FT41" s="740">
        <f t="shared" si="43"/>
        <v>71.992499999999993</v>
      </c>
      <c r="FU41" s="740">
        <f t="shared" si="43"/>
        <v>71.212500000000006</v>
      </c>
      <c r="FV41" s="741">
        <f t="shared" si="26"/>
        <v>57.476166666666664</v>
      </c>
      <c r="FW41" s="312"/>
    </row>
    <row r="42" spans="1:179">
      <c r="A42" s="1025" t="s">
        <v>325</v>
      </c>
      <c r="B42" s="632" t="s">
        <v>305</v>
      </c>
      <c r="C42" s="633" t="s">
        <v>323</v>
      </c>
      <c r="D42" s="633"/>
      <c r="E42" s="742">
        <v>58.016529232000003</v>
      </c>
      <c r="F42" s="743" t="s">
        <v>326</v>
      </c>
      <c r="G42" s="744">
        <f t="shared" ref="G42:AS42" si="44">$E$42*G16</f>
        <v>6421791.6041608481</v>
      </c>
      <c r="H42" s="744">
        <f t="shared" si="44"/>
        <v>6421791.6041608481</v>
      </c>
      <c r="I42" s="744">
        <f t="shared" si="44"/>
        <v>6421791.6041608481</v>
      </c>
      <c r="J42" s="744">
        <f t="shared" si="44"/>
        <v>6421791.6041608481</v>
      </c>
      <c r="K42" s="744">
        <f t="shared" si="44"/>
        <v>6421791.6041608481</v>
      </c>
      <c r="L42" s="744">
        <f t="shared" si="44"/>
        <v>6421791.6041608481</v>
      </c>
      <c r="M42" s="744">
        <f t="shared" si="44"/>
        <v>6421791.6041608481</v>
      </c>
      <c r="N42" s="744">
        <f t="shared" si="44"/>
        <v>6421791.6041608481</v>
      </c>
      <c r="O42" s="744">
        <f t="shared" si="44"/>
        <v>6421791.6041608481</v>
      </c>
      <c r="P42" s="744">
        <f t="shared" si="44"/>
        <v>6421791.6041608481</v>
      </c>
      <c r="Q42" s="744">
        <f t="shared" si="44"/>
        <v>6421791.6041608481</v>
      </c>
      <c r="R42" s="744">
        <f t="shared" si="44"/>
        <v>6421791.6041608481</v>
      </c>
      <c r="S42" s="744">
        <f t="shared" si="44"/>
        <v>6421791.6041608481</v>
      </c>
      <c r="T42" s="744">
        <f t="shared" si="44"/>
        <v>6421791.6041608481</v>
      </c>
      <c r="U42" s="744">
        <f t="shared" si="44"/>
        <v>6421791.6041608481</v>
      </c>
      <c r="V42" s="744">
        <f t="shared" si="44"/>
        <v>6421791.6041608481</v>
      </c>
      <c r="W42" s="744">
        <f t="shared" si="44"/>
        <v>6421791.6041608481</v>
      </c>
      <c r="X42" s="744">
        <f t="shared" si="44"/>
        <v>6421791.6041608481</v>
      </c>
      <c r="Y42" s="744">
        <f t="shared" si="44"/>
        <v>6421791.6041608481</v>
      </c>
      <c r="Z42" s="744">
        <f t="shared" si="44"/>
        <v>6421791.6041608481</v>
      </c>
      <c r="AA42" s="744">
        <f t="shared" si="44"/>
        <v>6421791.6041608481</v>
      </c>
      <c r="AB42" s="744">
        <f t="shared" si="44"/>
        <v>6421791.6041608481</v>
      </c>
      <c r="AC42" s="744">
        <f t="shared" si="44"/>
        <v>6421791.6041608481</v>
      </c>
      <c r="AD42" s="744">
        <f t="shared" si="44"/>
        <v>6421791.6041608481</v>
      </c>
      <c r="AE42" s="744">
        <f t="shared" si="44"/>
        <v>6421791.6041608481</v>
      </c>
      <c r="AF42" s="744">
        <f t="shared" si="44"/>
        <v>6421791.6041608481</v>
      </c>
      <c r="AG42" s="744">
        <f t="shared" si="44"/>
        <v>6421791.6041608481</v>
      </c>
      <c r="AH42" s="744">
        <f t="shared" si="44"/>
        <v>6421791.6041608481</v>
      </c>
      <c r="AI42" s="744">
        <f t="shared" si="44"/>
        <v>6421791.6041608481</v>
      </c>
      <c r="AJ42" s="744">
        <f t="shared" si="44"/>
        <v>6421791.6041608481</v>
      </c>
      <c r="AK42" s="744">
        <f t="shared" si="44"/>
        <v>6421791.6041608481</v>
      </c>
      <c r="AL42" s="744">
        <f t="shared" si="44"/>
        <v>6421791.6041608481</v>
      </c>
      <c r="AM42" s="744">
        <f t="shared" si="44"/>
        <v>6421791.6041608481</v>
      </c>
      <c r="AN42" s="744">
        <f t="shared" si="44"/>
        <v>6421791.6041608481</v>
      </c>
      <c r="AO42" s="744">
        <f t="shared" si="44"/>
        <v>6421791.6041608481</v>
      </c>
      <c r="AP42" s="744">
        <f t="shared" si="44"/>
        <v>6421791.6041608481</v>
      </c>
      <c r="AQ42" s="744">
        <f t="shared" si="44"/>
        <v>6421791.6041608481</v>
      </c>
      <c r="AR42" s="744">
        <f t="shared" si="44"/>
        <v>6421791.6041608481</v>
      </c>
      <c r="AS42" s="744">
        <f t="shared" si="44"/>
        <v>6421791.6041608481</v>
      </c>
      <c r="AT42" s="744">
        <f>$E$42*AT16</f>
        <v>6421791.6041608481</v>
      </c>
      <c r="AU42" s="745">
        <f t="shared" ref="AU42:CL42" si="45">$E$42*AU16</f>
        <v>6421791.6041608481</v>
      </c>
      <c r="AV42" s="745">
        <f t="shared" si="45"/>
        <v>6421791.6041608481</v>
      </c>
      <c r="AW42" s="745">
        <f t="shared" si="45"/>
        <v>6421791.6041608481</v>
      </c>
      <c r="AX42" s="745">
        <f t="shared" si="45"/>
        <v>6421791.6041608481</v>
      </c>
      <c r="AY42" s="745">
        <f t="shared" si="45"/>
        <v>6421791.6041608481</v>
      </c>
      <c r="AZ42" s="745">
        <f t="shared" si="45"/>
        <v>6421791.6041608481</v>
      </c>
      <c r="BA42" s="745">
        <f t="shared" si="45"/>
        <v>6421791.6041608481</v>
      </c>
      <c r="BB42" s="745">
        <f t="shared" si="45"/>
        <v>6421791.6041608481</v>
      </c>
      <c r="BC42" s="745">
        <f t="shared" si="45"/>
        <v>6421791.6041608481</v>
      </c>
      <c r="BD42" s="745">
        <f t="shared" si="45"/>
        <v>6421791.6041608481</v>
      </c>
      <c r="BE42" s="745">
        <f t="shared" si="45"/>
        <v>6421791.6041608481</v>
      </c>
      <c r="BF42" s="745">
        <f t="shared" si="45"/>
        <v>6421791.6041608481</v>
      </c>
      <c r="BG42" s="745">
        <f t="shared" si="45"/>
        <v>6421791.6041608481</v>
      </c>
      <c r="BH42" s="745">
        <f t="shared" si="45"/>
        <v>6421791.6041608481</v>
      </c>
      <c r="BI42" s="745">
        <f t="shared" si="45"/>
        <v>6421791.6041608481</v>
      </c>
      <c r="BJ42" s="745">
        <f t="shared" si="45"/>
        <v>6421791.6041608481</v>
      </c>
      <c r="BK42" s="745">
        <f t="shared" si="45"/>
        <v>6421791.6041608481</v>
      </c>
      <c r="BL42" s="745">
        <f t="shared" si="45"/>
        <v>6421791.6041608481</v>
      </c>
      <c r="BM42" s="745">
        <f t="shared" si="45"/>
        <v>6421791.6041608481</v>
      </c>
      <c r="BN42" s="745">
        <f t="shared" si="45"/>
        <v>6421791.6041608481</v>
      </c>
      <c r="BO42" s="745">
        <f t="shared" si="45"/>
        <v>6421791.6041608481</v>
      </c>
      <c r="BP42" s="745">
        <f t="shared" si="45"/>
        <v>6421791.6041608481</v>
      </c>
      <c r="BQ42" s="745">
        <f t="shared" si="45"/>
        <v>6421791.6041608481</v>
      </c>
      <c r="BR42" s="745">
        <f t="shared" si="45"/>
        <v>6421791.6041608481</v>
      </c>
      <c r="BS42" s="745">
        <f t="shared" si="45"/>
        <v>6421791.6041608481</v>
      </c>
      <c r="BT42" s="745">
        <f t="shared" si="45"/>
        <v>6421791.6041608481</v>
      </c>
      <c r="BU42" s="745">
        <f t="shared" si="45"/>
        <v>6421791.6041608481</v>
      </c>
      <c r="BV42" s="745">
        <f t="shared" si="45"/>
        <v>6421791.6041608481</v>
      </c>
      <c r="BW42" s="745">
        <f t="shared" si="45"/>
        <v>6421791.6041608481</v>
      </c>
      <c r="BX42" s="745">
        <f t="shared" si="45"/>
        <v>6421791.6041608481</v>
      </c>
      <c r="BY42" s="745">
        <f t="shared" si="45"/>
        <v>6421791.6041608481</v>
      </c>
      <c r="BZ42" s="745">
        <f t="shared" si="45"/>
        <v>6421791.6041608481</v>
      </c>
      <c r="CA42" s="745">
        <f t="shared" si="45"/>
        <v>6421791.6041608481</v>
      </c>
      <c r="CB42" s="745">
        <f t="shared" si="45"/>
        <v>6421791.6041608481</v>
      </c>
      <c r="CC42" s="745">
        <f t="shared" si="45"/>
        <v>6421791.6041608481</v>
      </c>
      <c r="CD42" s="745">
        <f t="shared" si="45"/>
        <v>6421791.6041608481</v>
      </c>
      <c r="CE42" s="745">
        <f t="shared" si="45"/>
        <v>6421791.6041608481</v>
      </c>
      <c r="CF42" s="745">
        <f t="shared" si="45"/>
        <v>6421791.6041608481</v>
      </c>
      <c r="CG42" s="745">
        <f t="shared" si="45"/>
        <v>6421791.6041608481</v>
      </c>
      <c r="CH42" s="745">
        <f t="shared" si="45"/>
        <v>6421791.6041608481</v>
      </c>
      <c r="CI42" s="745">
        <f t="shared" si="45"/>
        <v>6421791.6041608481</v>
      </c>
      <c r="CJ42" s="745">
        <f t="shared" si="45"/>
        <v>6421791.6041608481</v>
      </c>
      <c r="CK42" s="745">
        <f t="shared" si="45"/>
        <v>6421791.6041608481</v>
      </c>
      <c r="CL42" s="745">
        <f t="shared" si="45"/>
        <v>6421791.6041608481</v>
      </c>
      <c r="CM42" s="642">
        <f t="shared" si="0"/>
        <v>6421791.6041608471</v>
      </c>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313"/>
    </row>
    <row r="43" spans="1:179">
      <c r="A43" s="1026"/>
      <c r="B43" s="647" t="s">
        <v>305</v>
      </c>
      <c r="C43" s="648" t="s">
        <v>323</v>
      </c>
      <c r="D43" s="640"/>
      <c r="E43" s="644">
        <v>113.95</v>
      </c>
      <c r="F43" s="708" t="s">
        <v>327</v>
      </c>
      <c r="G43" s="746">
        <f t="shared" ref="G43:AS43" si="46">$E$43*G16</f>
        <v>12613011.550000001</v>
      </c>
      <c r="H43" s="746">
        <f t="shared" si="46"/>
        <v>12613011.550000001</v>
      </c>
      <c r="I43" s="746">
        <f t="shared" si="46"/>
        <v>12613011.550000001</v>
      </c>
      <c r="J43" s="746">
        <f t="shared" si="46"/>
        <v>12613011.550000001</v>
      </c>
      <c r="K43" s="746">
        <f t="shared" si="46"/>
        <v>12613011.550000001</v>
      </c>
      <c r="L43" s="746">
        <f t="shared" si="46"/>
        <v>12613011.550000001</v>
      </c>
      <c r="M43" s="746">
        <f t="shared" si="46"/>
        <v>12613011.550000001</v>
      </c>
      <c r="N43" s="746">
        <f t="shared" si="46"/>
        <v>12613011.550000001</v>
      </c>
      <c r="O43" s="746">
        <f t="shared" si="46"/>
        <v>12613011.550000001</v>
      </c>
      <c r="P43" s="746">
        <f t="shared" si="46"/>
        <v>12613011.550000001</v>
      </c>
      <c r="Q43" s="746">
        <f t="shared" si="46"/>
        <v>12613011.550000001</v>
      </c>
      <c r="R43" s="746">
        <f t="shared" si="46"/>
        <v>12613011.550000001</v>
      </c>
      <c r="S43" s="746">
        <f t="shared" si="46"/>
        <v>12613011.550000001</v>
      </c>
      <c r="T43" s="746">
        <f t="shared" si="46"/>
        <v>12613011.550000001</v>
      </c>
      <c r="U43" s="746">
        <f t="shared" si="46"/>
        <v>12613011.550000001</v>
      </c>
      <c r="V43" s="746">
        <f t="shared" si="46"/>
        <v>12613011.550000001</v>
      </c>
      <c r="W43" s="746">
        <f t="shared" si="46"/>
        <v>12613011.550000001</v>
      </c>
      <c r="X43" s="746">
        <f t="shared" si="46"/>
        <v>12613011.550000001</v>
      </c>
      <c r="Y43" s="746">
        <f t="shared" si="46"/>
        <v>12613011.550000001</v>
      </c>
      <c r="Z43" s="746">
        <f t="shared" si="46"/>
        <v>12613011.550000001</v>
      </c>
      <c r="AA43" s="746">
        <f t="shared" si="46"/>
        <v>12613011.550000001</v>
      </c>
      <c r="AB43" s="746">
        <f t="shared" si="46"/>
        <v>12613011.550000001</v>
      </c>
      <c r="AC43" s="746">
        <f t="shared" si="46"/>
        <v>12613011.550000001</v>
      </c>
      <c r="AD43" s="746">
        <f t="shared" si="46"/>
        <v>12613011.550000001</v>
      </c>
      <c r="AE43" s="746">
        <f t="shared" si="46"/>
        <v>12613011.550000001</v>
      </c>
      <c r="AF43" s="746">
        <f t="shared" si="46"/>
        <v>12613011.550000001</v>
      </c>
      <c r="AG43" s="746">
        <f t="shared" si="46"/>
        <v>12613011.550000001</v>
      </c>
      <c r="AH43" s="746">
        <f t="shared" si="46"/>
        <v>12613011.550000001</v>
      </c>
      <c r="AI43" s="746">
        <f t="shared" si="46"/>
        <v>12613011.550000001</v>
      </c>
      <c r="AJ43" s="746">
        <f t="shared" si="46"/>
        <v>12613011.550000001</v>
      </c>
      <c r="AK43" s="746">
        <f t="shared" si="46"/>
        <v>12613011.550000001</v>
      </c>
      <c r="AL43" s="746">
        <f t="shared" si="46"/>
        <v>12613011.550000001</v>
      </c>
      <c r="AM43" s="746">
        <f t="shared" si="46"/>
        <v>12613011.550000001</v>
      </c>
      <c r="AN43" s="746">
        <f t="shared" si="46"/>
        <v>12613011.550000001</v>
      </c>
      <c r="AO43" s="746">
        <f t="shared" si="46"/>
        <v>12613011.550000001</v>
      </c>
      <c r="AP43" s="746">
        <f t="shared" si="46"/>
        <v>12613011.550000001</v>
      </c>
      <c r="AQ43" s="746">
        <f t="shared" si="46"/>
        <v>12613011.550000001</v>
      </c>
      <c r="AR43" s="746">
        <f t="shared" si="46"/>
        <v>12613011.550000001</v>
      </c>
      <c r="AS43" s="746">
        <f t="shared" si="46"/>
        <v>12613011.550000001</v>
      </c>
      <c r="AT43" s="746">
        <f>$E$43*AT16</f>
        <v>12613011.550000001</v>
      </c>
      <c r="AU43" s="747">
        <f t="shared" ref="AU43:CL43" si="47">$E$43*AU16</f>
        <v>12613011.550000001</v>
      </c>
      <c r="AV43" s="747">
        <f t="shared" si="47"/>
        <v>12613011.550000001</v>
      </c>
      <c r="AW43" s="747">
        <f t="shared" si="47"/>
        <v>12613011.550000001</v>
      </c>
      <c r="AX43" s="747">
        <f t="shared" si="47"/>
        <v>12613011.550000001</v>
      </c>
      <c r="AY43" s="747">
        <f t="shared" si="47"/>
        <v>12613011.550000001</v>
      </c>
      <c r="AZ43" s="747">
        <f t="shared" si="47"/>
        <v>12613011.550000001</v>
      </c>
      <c r="BA43" s="747">
        <f t="shared" si="47"/>
        <v>12613011.550000001</v>
      </c>
      <c r="BB43" s="747">
        <f t="shared" si="47"/>
        <v>12613011.550000001</v>
      </c>
      <c r="BC43" s="747">
        <f t="shared" si="47"/>
        <v>12613011.550000001</v>
      </c>
      <c r="BD43" s="747">
        <f t="shared" si="47"/>
        <v>12613011.550000001</v>
      </c>
      <c r="BE43" s="747">
        <f t="shared" si="47"/>
        <v>12613011.550000001</v>
      </c>
      <c r="BF43" s="747">
        <f t="shared" si="47"/>
        <v>12613011.550000001</v>
      </c>
      <c r="BG43" s="747">
        <f t="shared" si="47"/>
        <v>12613011.550000001</v>
      </c>
      <c r="BH43" s="747">
        <f t="shared" si="47"/>
        <v>12613011.550000001</v>
      </c>
      <c r="BI43" s="747">
        <f t="shared" si="47"/>
        <v>12613011.550000001</v>
      </c>
      <c r="BJ43" s="747">
        <f t="shared" si="47"/>
        <v>12613011.550000001</v>
      </c>
      <c r="BK43" s="747">
        <f t="shared" si="47"/>
        <v>12613011.550000001</v>
      </c>
      <c r="BL43" s="747">
        <f t="shared" si="47"/>
        <v>12613011.550000001</v>
      </c>
      <c r="BM43" s="747">
        <f t="shared" si="47"/>
        <v>12613011.550000001</v>
      </c>
      <c r="BN43" s="747">
        <f t="shared" si="47"/>
        <v>12613011.550000001</v>
      </c>
      <c r="BO43" s="747">
        <f t="shared" si="47"/>
        <v>12613011.550000001</v>
      </c>
      <c r="BP43" s="747">
        <f t="shared" si="47"/>
        <v>12613011.550000001</v>
      </c>
      <c r="BQ43" s="747">
        <f t="shared" si="47"/>
        <v>12613011.550000001</v>
      </c>
      <c r="BR43" s="747">
        <f t="shared" si="47"/>
        <v>12613011.550000001</v>
      </c>
      <c r="BS43" s="747">
        <f t="shared" si="47"/>
        <v>12613011.550000001</v>
      </c>
      <c r="BT43" s="747">
        <f t="shared" si="47"/>
        <v>12613011.550000001</v>
      </c>
      <c r="BU43" s="747">
        <f t="shared" si="47"/>
        <v>12613011.550000001</v>
      </c>
      <c r="BV43" s="747">
        <f t="shared" si="47"/>
        <v>12613011.550000001</v>
      </c>
      <c r="BW43" s="747">
        <f t="shared" si="47"/>
        <v>12613011.550000001</v>
      </c>
      <c r="BX43" s="747">
        <f t="shared" si="47"/>
        <v>12613011.550000001</v>
      </c>
      <c r="BY43" s="747">
        <f t="shared" si="47"/>
        <v>12613011.550000001</v>
      </c>
      <c r="BZ43" s="747">
        <f t="shared" si="47"/>
        <v>12613011.550000001</v>
      </c>
      <c r="CA43" s="747">
        <f t="shared" si="47"/>
        <v>12613011.550000001</v>
      </c>
      <c r="CB43" s="747">
        <f t="shared" si="47"/>
        <v>12613011.550000001</v>
      </c>
      <c r="CC43" s="747">
        <f t="shared" si="47"/>
        <v>12613011.550000001</v>
      </c>
      <c r="CD43" s="747">
        <f t="shared" si="47"/>
        <v>12613011.550000001</v>
      </c>
      <c r="CE43" s="747">
        <f t="shared" si="47"/>
        <v>12613011.550000001</v>
      </c>
      <c r="CF43" s="747">
        <f t="shared" si="47"/>
        <v>12613011.550000001</v>
      </c>
      <c r="CG43" s="747">
        <f t="shared" si="47"/>
        <v>12613011.550000001</v>
      </c>
      <c r="CH43" s="747">
        <f t="shared" si="47"/>
        <v>12613011.550000001</v>
      </c>
      <c r="CI43" s="747">
        <f t="shared" si="47"/>
        <v>12613011.550000001</v>
      </c>
      <c r="CJ43" s="747">
        <f t="shared" si="47"/>
        <v>12613011.550000001</v>
      </c>
      <c r="CK43" s="747">
        <f t="shared" si="47"/>
        <v>12613011.550000001</v>
      </c>
      <c r="CL43" s="747">
        <f t="shared" si="47"/>
        <v>12613011.550000001</v>
      </c>
      <c r="CM43" s="642">
        <f t="shared" si="0"/>
        <v>12613011.54999998</v>
      </c>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row>
    <row r="44" spans="1:179" ht="17.25" customHeight="1">
      <c r="A44" s="748" t="s">
        <v>31</v>
      </c>
      <c r="B44" s="749" t="s">
        <v>305</v>
      </c>
      <c r="C44" s="748" t="s">
        <v>323</v>
      </c>
      <c r="D44" s="748"/>
      <c r="E44" s="750">
        <v>7924</v>
      </c>
      <c r="F44" s="751" t="s">
        <v>328</v>
      </c>
      <c r="G44" s="752">
        <f t="shared" ref="G44:AS44" si="48">7924*G16</f>
        <v>877099636</v>
      </c>
      <c r="H44" s="752">
        <f t="shared" si="48"/>
        <v>877099636</v>
      </c>
      <c r="I44" s="752">
        <f t="shared" si="48"/>
        <v>877099636</v>
      </c>
      <c r="J44" s="752">
        <f t="shared" si="48"/>
        <v>877099636</v>
      </c>
      <c r="K44" s="752">
        <f t="shared" si="48"/>
        <v>877099636</v>
      </c>
      <c r="L44" s="752">
        <f t="shared" si="48"/>
        <v>877099636</v>
      </c>
      <c r="M44" s="752">
        <f t="shared" si="48"/>
        <v>877099636</v>
      </c>
      <c r="N44" s="752">
        <f t="shared" si="48"/>
        <v>877099636</v>
      </c>
      <c r="O44" s="752">
        <f t="shared" si="48"/>
        <v>877099636</v>
      </c>
      <c r="P44" s="752">
        <f t="shared" si="48"/>
        <v>877099636</v>
      </c>
      <c r="Q44" s="752">
        <f t="shared" si="48"/>
        <v>877099636</v>
      </c>
      <c r="R44" s="752">
        <f t="shared" si="48"/>
        <v>877099636</v>
      </c>
      <c r="S44" s="752">
        <f t="shared" si="48"/>
        <v>877099636</v>
      </c>
      <c r="T44" s="752">
        <f t="shared" si="48"/>
        <v>877099636</v>
      </c>
      <c r="U44" s="752">
        <f t="shared" si="48"/>
        <v>877099636</v>
      </c>
      <c r="V44" s="752">
        <f t="shared" si="48"/>
        <v>877099636</v>
      </c>
      <c r="W44" s="752">
        <f t="shared" si="48"/>
        <v>877099636</v>
      </c>
      <c r="X44" s="752">
        <f t="shared" si="48"/>
        <v>877099636</v>
      </c>
      <c r="Y44" s="752">
        <f t="shared" si="48"/>
        <v>877099636</v>
      </c>
      <c r="Z44" s="752">
        <f t="shared" si="48"/>
        <v>877099636</v>
      </c>
      <c r="AA44" s="752">
        <f t="shared" si="48"/>
        <v>877099636</v>
      </c>
      <c r="AB44" s="752">
        <f t="shared" si="48"/>
        <v>877099636</v>
      </c>
      <c r="AC44" s="752">
        <f t="shared" si="48"/>
        <v>877099636</v>
      </c>
      <c r="AD44" s="752">
        <f t="shared" si="48"/>
        <v>877099636</v>
      </c>
      <c r="AE44" s="752">
        <f t="shared" si="48"/>
        <v>877099636</v>
      </c>
      <c r="AF44" s="752">
        <f t="shared" si="48"/>
        <v>877099636</v>
      </c>
      <c r="AG44" s="752">
        <f t="shared" si="48"/>
        <v>877099636</v>
      </c>
      <c r="AH44" s="752">
        <f t="shared" si="48"/>
        <v>877099636</v>
      </c>
      <c r="AI44" s="752">
        <f t="shared" si="48"/>
        <v>877099636</v>
      </c>
      <c r="AJ44" s="752">
        <f t="shared" si="48"/>
        <v>877099636</v>
      </c>
      <c r="AK44" s="752">
        <f t="shared" si="48"/>
        <v>877099636</v>
      </c>
      <c r="AL44" s="752">
        <f t="shared" si="48"/>
        <v>877099636</v>
      </c>
      <c r="AM44" s="752">
        <f t="shared" si="48"/>
        <v>877099636</v>
      </c>
      <c r="AN44" s="752">
        <f t="shared" si="48"/>
        <v>877099636</v>
      </c>
      <c r="AO44" s="752">
        <f t="shared" si="48"/>
        <v>877099636</v>
      </c>
      <c r="AP44" s="752">
        <f t="shared" si="48"/>
        <v>877099636</v>
      </c>
      <c r="AQ44" s="752">
        <f t="shared" si="48"/>
        <v>877099636</v>
      </c>
      <c r="AR44" s="752">
        <f t="shared" si="48"/>
        <v>877099636</v>
      </c>
      <c r="AS44" s="752">
        <f t="shared" si="48"/>
        <v>877099636</v>
      </c>
      <c r="AT44" s="752">
        <f>7924*AT16</f>
        <v>877099636</v>
      </c>
      <c r="AU44" s="753">
        <f t="shared" ref="AU44:CL44" si="49">7924*AU16</f>
        <v>877099636</v>
      </c>
      <c r="AV44" s="753">
        <f t="shared" si="49"/>
        <v>877099636</v>
      </c>
      <c r="AW44" s="753">
        <f t="shared" si="49"/>
        <v>877099636</v>
      </c>
      <c r="AX44" s="753">
        <f t="shared" si="49"/>
        <v>877099636</v>
      </c>
      <c r="AY44" s="753">
        <f t="shared" si="49"/>
        <v>877099636</v>
      </c>
      <c r="AZ44" s="753">
        <f t="shared" si="49"/>
        <v>877099636</v>
      </c>
      <c r="BA44" s="753">
        <f t="shared" si="49"/>
        <v>877099636</v>
      </c>
      <c r="BB44" s="753">
        <f t="shared" si="49"/>
        <v>877099636</v>
      </c>
      <c r="BC44" s="753">
        <f t="shared" si="49"/>
        <v>877099636</v>
      </c>
      <c r="BD44" s="753">
        <f t="shared" si="49"/>
        <v>877099636</v>
      </c>
      <c r="BE44" s="753">
        <f t="shared" si="49"/>
        <v>877099636</v>
      </c>
      <c r="BF44" s="753">
        <f t="shared" si="49"/>
        <v>877099636</v>
      </c>
      <c r="BG44" s="753">
        <f t="shared" si="49"/>
        <v>877099636</v>
      </c>
      <c r="BH44" s="753">
        <f t="shared" si="49"/>
        <v>877099636</v>
      </c>
      <c r="BI44" s="753">
        <f t="shared" si="49"/>
        <v>877099636</v>
      </c>
      <c r="BJ44" s="753">
        <f t="shared" si="49"/>
        <v>877099636</v>
      </c>
      <c r="BK44" s="753">
        <f t="shared" si="49"/>
        <v>877099636</v>
      </c>
      <c r="BL44" s="753">
        <f t="shared" si="49"/>
        <v>877099636</v>
      </c>
      <c r="BM44" s="753">
        <f t="shared" si="49"/>
        <v>877099636</v>
      </c>
      <c r="BN44" s="753">
        <f t="shared" si="49"/>
        <v>877099636</v>
      </c>
      <c r="BO44" s="753">
        <f t="shared" si="49"/>
        <v>877099636</v>
      </c>
      <c r="BP44" s="753">
        <f t="shared" si="49"/>
        <v>877099636</v>
      </c>
      <c r="BQ44" s="753">
        <f t="shared" si="49"/>
        <v>877099636</v>
      </c>
      <c r="BR44" s="753">
        <f t="shared" si="49"/>
        <v>877099636</v>
      </c>
      <c r="BS44" s="753">
        <f t="shared" si="49"/>
        <v>877099636</v>
      </c>
      <c r="BT44" s="753">
        <f t="shared" si="49"/>
        <v>877099636</v>
      </c>
      <c r="BU44" s="753">
        <f t="shared" si="49"/>
        <v>877099636</v>
      </c>
      <c r="BV44" s="753">
        <f t="shared" si="49"/>
        <v>877099636</v>
      </c>
      <c r="BW44" s="753">
        <f t="shared" si="49"/>
        <v>877099636</v>
      </c>
      <c r="BX44" s="753">
        <f t="shared" si="49"/>
        <v>877099636</v>
      </c>
      <c r="BY44" s="753">
        <f t="shared" si="49"/>
        <v>877099636</v>
      </c>
      <c r="BZ44" s="753">
        <f t="shared" si="49"/>
        <v>877099636</v>
      </c>
      <c r="CA44" s="753">
        <f t="shared" si="49"/>
        <v>877099636</v>
      </c>
      <c r="CB44" s="753">
        <f t="shared" si="49"/>
        <v>877099636</v>
      </c>
      <c r="CC44" s="753">
        <f t="shared" si="49"/>
        <v>877099636</v>
      </c>
      <c r="CD44" s="753">
        <f t="shared" si="49"/>
        <v>877099636</v>
      </c>
      <c r="CE44" s="753">
        <f t="shared" si="49"/>
        <v>877099636</v>
      </c>
      <c r="CF44" s="753">
        <f t="shared" si="49"/>
        <v>877099636</v>
      </c>
      <c r="CG44" s="753">
        <f t="shared" si="49"/>
        <v>877099636</v>
      </c>
      <c r="CH44" s="753">
        <f t="shared" si="49"/>
        <v>877099636</v>
      </c>
      <c r="CI44" s="753">
        <f t="shared" si="49"/>
        <v>877099636</v>
      </c>
      <c r="CJ44" s="753">
        <f t="shared" si="49"/>
        <v>877099636</v>
      </c>
      <c r="CK44" s="753">
        <f t="shared" si="49"/>
        <v>877099636</v>
      </c>
      <c r="CL44" s="753">
        <f t="shared" si="49"/>
        <v>877099636</v>
      </c>
      <c r="CM44" s="642">
        <f t="shared" si="0"/>
        <v>877099636</v>
      </c>
      <c r="CN44" s="245"/>
      <c r="CO44" s="245"/>
      <c r="CP44" s="245"/>
      <c r="CQ44" s="245"/>
      <c r="CR44" s="245"/>
      <c r="CS44" s="245"/>
      <c r="CT44" s="245"/>
      <c r="CU44" s="245"/>
      <c r="CV44" s="245"/>
      <c r="CW44" s="245"/>
      <c r="CX44" s="245"/>
      <c r="CY44" s="245"/>
      <c r="CZ44" s="245"/>
      <c r="DA44" s="245"/>
      <c r="DB44" s="245"/>
      <c r="DC44" s="245"/>
      <c r="DD44" s="245"/>
      <c r="DE44" s="245"/>
      <c r="DF44" s="245"/>
      <c r="DG44" s="245"/>
      <c r="DH44" s="245"/>
      <c r="DI44" s="245"/>
      <c r="DJ44" s="245"/>
      <c r="DK44" s="245"/>
      <c r="DL44" s="245"/>
      <c r="DM44" s="245"/>
      <c r="DN44" s="245"/>
      <c r="DO44" s="245"/>
      <c r="DP44" s="245"/>
      <c r="DQ44" s="245"/>
      <c r="DR44" s="245"/>
      <c r="DS44" s="245"/>
      <c r="DT44" s="245"/>
      <c r="DU44" s="245"/>
      <c r="DV44" s="245"/>
      <c r="DW44" s="245"/>
      <c r="DX44" s="245"/>
      <c r="DY44" s="245"/>
      <c r="DZ44" s="245"/>
      <c r="EA44" s="245"/>
      <c r="EB44" s="245"/>
      <c r="EC44" s="245"/>
      <c r="ED44" s="245"/>
      <c r="EE44" s="245"/>
      <c r="EF44" s="245"/>
      <c r="EG44" s="245"/>
      <c r="EH44" s="245"/>
      <c r="EI44" s="245"/>
      <c r="EJ44" s="245"/>
      <c r="EK44" s="245"/>
      <c r="EL44" s="245"/>
      <c r="EM44" s="245"/>
      <c r="EN44" s="245"/>
      <c r="EO44" s="245"/>
      <c r="EP44" s="245"/>
      <c r="EQ44" s="245"/>
      <c r="ER44" s="245"/>
      <c r="ES44" s="245"/>
      <c r="ET44" s="245"/>
      <c r="EU44" s="245"/>
      <c r="EV44" s="245"/>
      <c r="EW44" s="245"/>
      <c r="EX44" s="245"/>
      <c r="EY44" s="245"/>
      <c r="EZ44" s="245"/>
      <c r="FA44" s="245"/>
      <c r="FB44" s="245"/>
      <c r="FC44" s="245"/>
      <c r="FD44" s="245"/>
      <c r="FE44" s="245"/>
      <c r="FF44" s="245"/>
      <c r="FG44" s="245"/>
      <c r="FH44" s="245"/>
      <c r="FI44" s="245"/>
      <c r="FJ44" s="245"/>
      <c r="FK44" s="245"/>
      <c r="FL44" s="245"/>
      <c r="FM44" s="245"/>
      <c r="FN44" s="245"/>
      <c r="FO44" s="245"/>
      <c r="FP44" s="245"/>
      <c r="FQ44" s="245"/>
      <c r="FR44" s="245"/>
      <c r="FS44" s="245"/>
      <c r="FT44" s="245"/>
      <c r="FU44" s="245"/>
      <c r="FV44" s="245"/>
    </row>
    <row r="45" spans="1:179" s="314" customFormat="1" ht="20.25" customHeight="1">
      <c r="A45" s="754" t="s">
        <v>238</v>
      </c>
      <c r="B45" s="755" t="s">
        <v>305</v>
      </c>
      <c r="C45" s="754" t="s">
        <v>323</v>
      </c>
      <c r="D45" s="754"/>
      <c r="E45" s="756">
        <v>3131</v>
      </c>
      <c r="F45" s="650" t="s">
        <v>326</v>
      </c>
      <c r="G45" s="757">
        <f t="shared" ref="G45:AS45" si="50">3131*G16</f>
        <v>346567259</v>
      </c>
      <c r="H45" s="757">
        <f t="shared" si="50"/>
        <v>346567259</v>
      </c>
      <c r="I45" s="757">
        <f t="shared" si="50"/>
        <v>346567259</v>
      </c>
      <c r="J45" s="757">
        <f t="shared" si="50"/>
        <v>346567259</v>
      </c>
      <c r="K45" s="757">
        <f t="shared" si="50"/>
        <v>346567259</v>
      </c>
      <c r="L45" s="757">
        <f t="shared" si="50"/>
        <v>346567259</v>
      </c>
      <c r="M45" s="757">
        <f t="shared" si="50"/>
        <v>346567259</v>
      </c>
      <c r="N45" s="757">
        <f t="shared" si="50"/>
        <v>346567259</v>
      </c>
      <c r="O45" s="757">
        <f t="shared" si="50"/>
        <v>346567259</v>
      </c>
      <c r="P45" s="757">
        <f t="shared" si="50"/>
        <v>346567259</v>
      </c>
      <c r="Q45" s="757">
        <f t="shared" si="50"/>
        <v>346567259</v>
      </c>
      <c r="R45" s="757">
        <f t="shared" si="50"/>
        <v>346567259</v>
      </c>
      <c r="S45" s="757">
        <f t="shared" si="50"/>
        <v>346567259</v>
      </c>
      <c r="T45" s="757">
        <f t="shared" si="50"/>
        <v>346567259</v>
      </c>
      <c r="U45" s="757">
        <f t="shared" si="50"/>
        <v>346567259</v>
      </c>
      <c r="V45" s="757">
        <f t="shared" si="50"/>
        <v>346567259</v>
      </c>
      <c r="W45" s="757">
        <f t="shared" si="50"/>
        <v>346567259</v>
      </c>
      <c r="X45" s="757">
        <f t="shared" si="50"/>
        <v>346567259</v>
      </c>
      <c r="Y45" s="757">
        <f t="shared" si="50"/>
        <v>346567259</v>
      </c>
      <c r="Z45" s="757">
        <f t="shared" si="50"/>
        <v>346567259</v>
      </c>
      <c r="AA45" s="757">
        <f t="shared" si="50"/>
        <v>346567259</v>
      </c>
      <c r="AB45" s="757">
        <f t="shared" si="50"/>
        <v>346567259</v>
      </c>
      <c r="AC45" s="757">
        <f t="shared" si="50"/>
        <v>346567259</v>
      </c>
      <c r="AD45" s="757">
        <f t="shared" si="50"/>
        <v>346567259</v>
      </c>
      <c r="AE45" s="757">
        <f t="shared" si="50"/>
        <v>346567259</v>
      </c>
      <c r="AF45" s="757">
        <f t="shared" si="50"/>
        <v>346567259</v>
      </c>
      <c r="AG45" s="757">
        <f t="shared" si="50"/>
        <v>346567259</v>
      </c>
      <c r="AH45" s="757">
        <f t="shared" si="50"/>
        <v>346567259</v>
      </c>
      <c r="AI45" s="757">
        <f t="shared" si="50"/>
        <v>346567259</v>
      </c>
      <c r="AJ45" s="757">
        <f t="shared" si="50"/>
        <v>346567259</v>
      </c>
      <c r="AK45" s="757">
        <f t="shared" si="50"/>
        <v>346567259</v>
      </c>
      <c r="AL45" s="757">
        <f t="shared" si="50"/>
        <v>346567259</v>
      </c>
      <c r="AM45" s="757">
        <f t="shared" si="50"/>
        <v>346567259</v>
      </c>
      <c r="AN45" s="757">
        <f t="shared" si="50"/>
        <v>346567259</v>
      </c>
      <c r="AO45" s="757">
        <f t="shared" si="50"/>
        <v>346567259</v>
      </c>
      <c r="AP45" s="757">
        <f t="shared" si="50"/>
        <v>346567259</v>
      </c>
      <c r="AQ45" s="757">
        <f t="shared" si="50"/>
        <v>346567259</v>
      </c>
      <c r="AR45" s="757">
        <f t="shared" si="50"/>
        <v>346567259</v>
      </c>
      <c r="AS45" s="757">
        <f t="shared" si="50"/>
        <v>346567259</v>
      </c>
      <c r="AT45" s="757">
        <f>3131*AT16</f>
        <v>346567259</v>
      </c>
      <c r="AU45" s="758">
        <f t="shared" ref="AU45:CL45" si="51">3131*AU16</f>
        <v>346567259</v>
      </c>
      <c r="AV45" s="758">
        <f t="shared" si="51"/>
        <v>346567259</v>
      </c>
      <c r="AW45" s="758">
        <f t="shared" si="51"/>
        <v>346567259</v>
      </c>
      <c r="AX45" s="758">
        <f t="shared" si="51"/>
        <v>346567259</v>
      </c>
      <c r="AY45" s="758">
        <f t="shared" si="51"/>
        <v>346567259</v>
      </c>
      <c r="AZ45" s="758">
        <f t="shared" si="51"/>
        <v>346567259</v>
      </c>
      <c r="BA45" s="758">
        <f t="shared" si="51"/>
        <v>346567259</v>
      </c>
      <c r="BB45" s="758">
        <f t="shared" si="51"/>
        <v>346567259</v>
      </c>
      <c r="BC45" s="758">
        <f t="shared" si="51"/>
        <v>346567259</v>
      </c>
      <c r="BD45" s="758">
        <f t="shared" si="51"/>
        <v>346567259</v>
      </c>
      <c r="BE45" s="758">
        <f t="shared" si="51"/>
        <v>346567259</v>
      </c>
      <c r="BF45" s="758">
        <f t="shared" si="51"/>
        <v>346567259</v>
      </c>
      <c r="BG45" s="758">
        <f t="shared" si="51"/>
        <v>346567259</v>
      </c>
      <c r="BH45" s="758">
        <f t="shared" si="51"/>
        <v>346567259</v>
      </c>
      <c r="BI45" s="758">
        <f t="shared" si="51"/>
        <v>346567259</v>
      </c>
      <c r="BJ45" s="758">
        <f t="shared" si="51"/>
        <v>346567259</v>
      </c>
      <c r="BK45" s="758">
        <f t="shared" si="51"/>
        <v>346567259</v>
      </c>
      <c r="BL45" s="758">
        <f t="shared" si="51"/>
        <v>346567259</v>
      </c>
      <c r="BM45" s="758">
        <f t="shared" si="51"/>
        <v>346567259</v>
      </c>
      <c r="BN45" s="758">
        <f t="shared" si="51"/>
        <v>346567259</v>
      </c>
      <c r="BO45" s="758">
        <f t="shared" si="51"/>
        <v>346567259</v>
      </c>
      <c r="BP45" s="758">
        <f t="shared" si="51"/>
        <v>346567259</v>
      </c>
      <c r="BQ45" s="758">
        <f t="shared" si="51"/>
        <v>346567259</v>
      </c>
      <c r="BR45" s="758">
        <f t="shared" si="51"/>
        <v>346567259</v>
      </c>
      <c r="BS45" s="758">
        <f t="shared" si="51"/>
        <v>346567259</v>
      </c>
      <c r="BT45" s="758">
        <f t="shared" si="51"/>
        <v>346567259</v>
      </c>
      <c r="BU45" s="758">
        <f t="shared" si="51"/>
        <v>346567259</v>
      </c>
      <c r="BV45" s="758">
        <f t="shared" si="51"/>
        <v>346567259</v>
      </c>
      <c r="BW45" s="758">
        <f t="shared" si="51"/>
        <v>346567259</v>
      </c>
      <c r="BX45" s="758">
        <f t="shared" si="51"/>
        <v>346567259</v>
      </c>
      <c r="BY45" s="758">
        <f t="shared" si="51"/>
        <v>346567259</v>
      </c>
      <c r="BZ45" s="758">
        <f t="shared" si="51"/>
        <v>346567259</v>
      </c>
      <c r="CA45" s="758">
        <f t="shared" si="51"/>
        <v>346567259</v>
      </c>
      <c r="CB45" s="758">
        <f t="shared" si="51"/>
        <v>346567259</v>
      </c>
      <c r="CC45" s="758">
        <f t="shared" si="51"/>
        <v>346567259</v>
      </c>
      <c r="CD45" s="758">
        <f t="shared" si="51"/>
        <v>346567259</v>
      </c>
      <c r="CE45" s="758">
        <f t="shared" si="51"/>
        <v>346567259</v>
      </c>
      <c r="CF45" s="758">
        <f t="shared" si="51"/>
        <v>346567259</v>
      </c>
      <c r="CG45" s="758">
        <f t="shared" si="51"/>
        <v>346567259</v>
      </c>
      <c r="CH45" s="758">
        <f t="shared" si="51"/>
        <v>346567259</v>
      </c>
      <c r="CI45" s="758">
        <f t="shared" si="51"/>
        <v>346567259</v>
      </c>
      <c r="CJ45" s="758">
        <f t="shared" si="51"/>
        <v>346567259</v>
      </c>
      <c r="CK45" s="758">
        <f t="shared" si="51"/>
        <v>346567259</v>
      </c>
      <c r="CL45" s="758">
        <f t="shared" si="51"/>
        <v>346567259</v>
      </c>
      <c r="CM45" s="642">
        <f t="shared" si="0"/>
        <v>346567259</v>
      </c>
      <c r="CN45" s="759"/>
      <c r="CO45" s="759"/>
      <c r="CP45" s="759"/>
      <c r="CQ45" s="759"/>
      <c r="CR45" s="759"/>
      <c r="CS45" s="759"/>
      <c r="CT45" s="759"/>
      <c r="CU45" s="759"/>
      <c r="CV45" s="759"/>
      <c r="CW45" s="759"/>
      <c r="CX45" s="759"/>
      <c r="CY45" s="759"/>
      <c r="CZ45" s="759"/>
      <c r="DA45" s="759"/>
      <c r="DB45" s="759"/>
      <c r="DC45" s="759"/>
      <c r="DD45" s="759"/>
      <c r="DE45" s="759"/>
      <c r="DF45" s="759"/>
      <c r="DG45" s="759"/>
      <c r="DH45" s="759"/>
      <c r="DI45" s="759"/>
      <c r="DJ45" s="759"/>
      <c r="DK45" s="759"/>
      <c r="DL45" s="759"/>
      <c r="DM45" s="759"/>
      <c r="DN45" s="759"/>
      <c r="DO45" s="759"/>
      <c r="DP45" s="759"/>
      <c r="DQ45" s="759"/>
      <c r="DR45" s="759"/>
      <c r="DS45" s="759"/>
      <c r="DT45" s="759"/>
      <c r="DU45" s="759"/>
      <c r="DV45" s="759"/>
      <c r="DW45" s="759"/>
      <c r="DX45" s="759"/>
      <c r="DY45" s="759"/>
      <c r="DZ45" s="759"/>
      <c r="EA45" s="759"/>
      <c r="EB45" s="759"/>
      <c r="EC45" s="759"/>
      <c r="ED45" s="759"/>
      <c r="EE45" s="759"/>
      <c r="EF45" s="759"/>
      <c r="EG45" s="759"/>
      <c r="EH45" s="759"/>
      <c r="EI45" s="759"/>
      <c r="EJ45" s="759"/>
      <c r="EK45" s="759"/>
      <c r="EL45" s="759"/>
      <c r="EM45" s="759"/>
      <c r="EN45" s="759"/>
      <c r="EO45" s="759"/>
      <c r="EP45" s="759"/>
      <c r="EQ45" s="759"/>
      <c r="ER45" s="759"/>
      <c r="ES45" s="759"/>
      <c r="ET45" s="759"/>
      <c r="EU45" s="759"/>
      <c r="EV45" s="759"/>
      <c r="EW45" s="759"/>
      <c r="EX45" s="759"/>
      <c r="EY45" s="759"/>
      <c r="EZ45" s="759"/>
      <c r="FA45" s="759"/>
      <c r="FB45" s="759"/>
      <c r="FC45" s="759"/>
      <c r="FD45" s="759"/>
      <c r="FE45" s="759"/>
      <c r="FF45" s="759"/>
      <c r="FG45" s="759"/>
      <c r="FH45" s="759"/>
      <c r="FI45" s="759"/>
      <c r="FJ45" s="759"/>
      <c r="FK45" s="759"/>
      <c r="FL45" s="759"/>
      <c r="FM45" s="759"/>
      <c r="FN45" s="759"/>
      <c r="FO45" s="759"/>
      <c r="FP45" s="759"/>
      <c r="FQ45" s="759"/>
      <c r="FR45" s="759"/>
      <c r="FS45" s="759"/>
      <c r="FT45" s="759"/>
      <c r="FU45" s="759"/>
      <c r="FV45" s="759"/>
    </row>
    <row r="46" spans="1:179" s="314" customFormat="1">
      <c r="A46" s="760" t="s">
        <v>329</v>
      </c>
      <c r="B46" s="761" t="s">
        <v>309</v>
      </c>
      <c r="C46" s="760" t="s">
        <v>323</v>
      </c>
      <c r="D46" s="760"/>
      <c r="E46" s="762"/>
      <c r="F46" s="657" t="s">
        <v>148</v>
      </c>
      <c r="G46" s="763">
        <f t="shared" ref="G46:BR47" si="52">G12*G2</f>
        <v>1177876445.0783451</v>
      </c>
      <c r="H46" s="763">
        <f t="shared" si="52"/>
        <v>1308748223.3332136</v>
      </c>
      <c r="I46" s="763">
        <f t="shared" si="52"/>
        <v>1321629270.8157506</v>
      </c>
      <c r="J46" s="763">
        <f t="shared" si="52"/>
        <v>1313976568.2360663</v>
      </c>
      <c r="K46" s="763">
        <f t="shared" si="52"/>
        <v>1313141223.4873025</v>
      </c>
      <c r="L46" s="763">
        <f t="shared" si="52"/>
        <v>1318636531.704145</v>
      </c>
      <c r="M46" s="763">
        <f t="shared" si="52"/>
        <v>1321608516.8326278</v>
      </c>
      <c r="N46" s="763">
        <f t="shared" si="52"/>
        <v>1334316516.1539328</v>
      </c>
      <c r="O46" s="763">
        <f t="shared" si="52"/>
        <v>1274452727.1342909</v>
      </c>
      <c r="P46" s="763">
        <f t="shared" si="52"/>
        <v>1272362354.9160643</v>
      </c>
      <c r="Q46" s="763">
        <f t="shared" si="52"/>
        <v>1288768992.0246532</v>
      </c>
      <c r="R46" s="763">
        <f t="shared" si="52"/>
        <v>1301346965.1701555</v>
      </c>
      <c r="S46" s="763">
        <f t="shared" si="52"/>
        <v>1288441573.3988769</v>
      </c>
      <c r="T46" s="763">
        <f t="shared" si="52"/>
        <v>1300895318.8651998</v>
      </c>
      <c r="U46" s="763">
        <f t="shared" si="52"/>
        <v>1169114702.7527828</v>
      </c>
      <c r="V46" s="763">
        <f t="shared" si="52"/>
        <v>1178636182.7900572</v>
      </c>
      <c r="W46" s="763">
        <f t="shared" si="52"/>
        <v>1183401667.8450129</v>
      </c>
      <c r="X46" s="763">
        <f t="shared" si="52"/>
        <v>1169833466.5402114</v>
      </c>
      <c r="Y46" s="763">
        <f t="shared" si="52"/>
        <v>1046250236.4396681</v>
      </c>
      <c r="Z46" s="763">
        <f t="shared" si="52"/>
        <v>1049264230.2899815</v>
      </c>
      <c r="AA46" s="763">
        <f t="shared" si="52"/>
        <v>1051471489.3732957</v>
      </c>
      <c r="AB46" s="763">
        <f t="shared" si="52"/>
        <v>1049319328.0036483</v>
      </c>
      <c r="AC46" s="763">
        <f t="shared" si="52"/>
        <v>1049377403.9721081</v>
      </c>
      <c r="AD46" s="763">
        <f t="shared" si="52"/>
        <v>1047994376.9027014</v>
      </c>
      <c r="AE46" s="763">
        <f t="shared" si="52"/>
        <v>956691048.96965015</v>
      </c>
      <c r="AF46" s="763">
        <f t="shared" si="52"/>
        <v>964676251.31137502</v>
      </c>
      <c r="AG46" s="763">
        <f t="shared" si="52"/>
        <v>962868068.63743746</v>
      </c>
      <c r="AH46" s="763">
        <f t="shared" si="52"/>
        <v>963796035.89365005</v>
      </c>
      <c r="AI46" s="763">
        <f t="shared" si="52"/>
        <v>957153055.61081243</v>
      </c>
      <c r="AJ46" s="763">
        <f t="shared" si="52"/>
        <v>949482346.2690624</v>
      </c>
      <c r="AK46" s="763">
        <f t="shared" si="52"/>
        <v>939184020.53885603</v>
      </c>
      <c r="AL46" s="763">
        <f t="shared" si="52"/>
        <v>939378629.0505619</v>
      </c>
      <c r="AM46" s="763">
        <f t="shared" si="52"/>
        <v>939532505.54819</v>
      </c>
      <c r="AN46" s="763">
        <f t="shared" si="52"/>
        <v>938241451.56122899</v>
      </c>
      <c r="AO46" s="763">
        <f t="shared" si="52"/>
        <v>937164014.3592099</v>
      </c>
      <c r="AP46" s="763">
        <f t="shared" si="52"/>
        <v>939781423.41199994</v>
      </c>
      <c r="AQ46" s="763">
        <f t="shared" si="52"/>
        <v>1007278117.8898841</v>
      </c>
      <c r="AR46" s="763">
        <f t="shared" si="52"/>
        <v>1006597772.8106538</v>
      </c>
      <c r="AS46" s="763">
        <f t="shared" si="52"/>
        <v>1000274255.3688159</v>
      </c>
      <c r="AT46" s="763">
        <f t="shared" si="52"/>
        <v>1374842683.1765764</v>
      </c>
      <c r="AU46" s="655">
        <f t="shared" si="52"/>
        <v>1379044424.8593802</v>
      </c>
      <c r="AV46" s="655">
        <f t="shared" si="52"/>
        <v>1629545101.6848261</v>
      </c>
      <c r="AW46" s="655">
        <f t="shared" si="52"/>
        <v>1591343199.6509717</v>
      </c>
      <c r="AX46" s="655">
        <f t="shared" si="52"/>
        <v>1243212871.1445205</v>
      </c>
      <c r="AY46" s="655">
        <f t="shared" si="52"/>
        <v>1706780703.8413458</v>
      </c>
      <c r="AZ46" s="655">
        <f t="shared" si="52"/>
        <v>1916921551.603076</v>
      </c>
      <c r="BA46" s="655">
        <f t="shared" si="52"/>
        <v>1982133835.2812154</v>
      </c>
      <c r="BB46" s="655">
        <f t="shared" si="52"/>
        <v>1996887211.4071765</v>
      </c>
      <c r="BC46" s="655">
        <f t="shared" si="52"/>
        <v>1232654706.7663169</v>
      </c>
      <c r="BD46" s="655">
        <f t="shared" si="52"/>
        <v>1101639688.4588211</v>
      </c>
      <c r="BE46" s="655">
        <f t="shared" si="52"/>
        <v>1103036750.3994024</v>
      </c>
      <c r="BF46" s="655">
        <f t="shared" si="52"/>
        <v>1133624827.7955134</v>
      </c>
      <c r="BG46" s="655">
        <f t="shared" si="52"/>
        <v>1105660091.3748419</v>
      </c>
      <c r="BH46" s="655">
        <f t="shared" si="52"/>
        <v>1108749549.0588937</v>
      </c>
      <c r="BI46" s="655">
        <f t="shared" si="52"/>
        <v>1168879925.4696844</v>
      </c>
      <c r="BJ46" s="655">
        <f t="shared" si="52"/>
        <v>1164454971.5775049</v>
      </c>
      <c r="BK46" s="655">
        <f t="shared" si="52"/>
        <v>1177331392.8450325</v>
      </c>
      <c r="BL46" s="655">
        <f t="shared" si="52"/>
        <v>1188044985.1696365</v>
      </c>
      <c r="BM46" s="655">
        <f t="shared" si="52"/>
        <v>1222810873.0892406</v>
      </c>
      <c r="BN46" s="655">
        <f t="shared" si="52"/>
        <v>1168499850.3927243</v>
      </c>
      <c r="BO46" s="655">
        <f t="shared" si="52"/>
        <v>1088339449.3449023</v>
      </c>
      <c r="BP46" s="655">
        <f t="shared" si="52"/>
        <v>1088112395.8850474</v>
      </c>
      <c r="BQ46" s="655">
        <f t="shared" si="52"/>
        <v>1105625963.2955706</v>
      </c>
      <c r="BR46" s="655">
        <f t="shared" si="52"/>
        <v>1132811286.9414909</v>
      </c>
      <c r="BS46" s="655">
        <f t="shared" ref="BS46:CL47" si="53">BS12*BS2</f>
        <v>1148839941.8063359</v>
      </c>
      <c r="BT46" s="655">
        <f t="shared" si="53"/>
        <v>1116282134.4984467</v>
      </c>
      <c r="BU46" s="655">
        <f t="shared" si="53"/>
        <v>978895361.24333608</v>
      </c>
      <c r="BV46" s="655">
        <f t="shared" si="53"/>
        <v>990548597.24474275</v>
      </c>
      <c r="BW46" s="655">
        <f t="shared" si="53"/>
        <v>1013509133.062564</v>
      </c>
      <c r="BX46" s="655">
        <f t="shared" si="53"/>
        <v>987395917.93822384</v>
      </c>
      <c r="BY46" s="655">
        <f t="shared" si="53"/>
        <v>1008198330.3513852</v>
      </c>
      <c r="BZ46" s="655">
        <f t="shared" si="53"/>
        <v>1043128116.021217</v>
      </c>
      <c r="CA46" s="655">
        <f t="shared" si="53"/>
        <v>904291967.76679444</v>
      </c>
      <c r="CB46" s="655">
        <f t="shared" si="53"/>
        <v>873254395.40173697</v>
      </c>
      <c r="CC46" s="655">
        <f t="shared" si="53"/>
        <v>930854878.91728938</v>
      </c>
      <c r="CD46" s="655">
        <f t="shared" si="53"/>
        <v>894379207.42279291</v>
      </c>
      <c r="CE46" s="655">
        <f t="shared" si="53"/>
        <v>920715269.12800527</v>
      </c>
      <c r="CF46" s="655">
        <f t="shared" si="53"/>
        <v>928099598.19715178</v>
      </c>
      <c r="CG46" s="655">
        <f t="shared" si="53"/>
        <v>909517201.98925984</v>
      </c>
      <c r="CH46" s="655">
        <f t="shared" si="53"/>
        <v>921716532.0942986</v>
      </c>
      <c r="CI46" s="655">
        <f t="shared" si="53"/>
        <v>917498708.39722025</v>
      </c>
      <c r="CJ46" s="655">
        <f t="shared" si="53"/>
        <v>928703705.40429604</v>
      </c>
      <c r="CK46" s="655">
        <f t="shared" si="53"/>
        <v>894862272.14478111</v>
      </c>
      <c r="CL46" s="655">
        <f t="shared" si="53"/>
        <v>898527536.87796319</v>
      </c>
      <c r="CM46" s="642">
        <f t="shared" si="0"/>
        <v>1141109171.4965832</v>
      </c>
      <c r="CN46" s="759"/>
      <c r="CO46" s="759"/>
      <c r="CP46" s="759"/>
      <c r="CQ46" s="759"/>
      <c r="CR46" s="759"/>
      <c r="CS46" s="759"/>
      <c r="CT46" s="759"/>
      <c r="CU46" s="759"/>
      <c r="CV46" s="759"/>
      <c r="CW46" s="759"/>
      <c r="CX46" s="759"/>
      <c r="CY46" s="759"/>
      <c r="CZ46" s="759"/>
      <c r="DA46" s="759"/>
      <c r="DB46" s="759"/>
      <c r="DC46" s="759"/>
      <c r="DD46" s="759"/>
      <c r="DE46" s="759"/>
      <c r="DF46" s="759"/>
      <c r="DG46" s="759"/>
      <c r="DH46" s="759"/>
      <c r="DI46" s="759"/>
      <c r="DJ46" s="759"/>
      <c r="DK46" s="759"/>
      <c r="DL46" s="759"/>
      <c r="DM46" s="759"/>
      <c r="DN46" s="759"/>
      <c r="DO46" s="759"/>
      <c r="DP46" s="759"/>
      <c r="DQ46" s="759"/>
      <c r="DR46" s="759"/>
      <c r="DS46" s="759"/>
      <c r="DT46" s="759"/>
      <c r="DU46" s="759"/>
      <c r="DV46" s="759"/>
      <c r="DW46" s="759"/>
      <c r="DX46" s="759"/>
      <c r="DY46" s="759"/>
      <c r="DZ46" s="759"/>
      <c r="EA46" s="759"/>
      <c r="EB46" s="759"/>
      <c r="EC46" s="759"/>
      <c r="ED46" s="759"/>
      <c r="EE46" s="759"/>
      <c r="EF46" s="759"/>
      <c r="EG46" s="759"/>
      <c r="EH46" s="759"/>
      <c r="EI46" s="759"/>
      <c r="EJ46" s="759"/>
      <c r="EK46" s="759"/>
      <c r="EL46" s="759"/>
      <c r="EM46" s="759"/>
      <c r="EN46" s="759"/>
      <c r="EO46" s="759"/>
      <c r="EP46" s="759"/>
      <c r="EQ46" s="759"/>
      <c r="ER46" s="759"/>
      <c r="ES46" s="759"/>
      <c r="ET46" s="759"/>
      <c r="EU46" s="759"/>
      <c r="EV46" s="759"/>
      <c r="EW46" s="759"/>
      <c r="EX46" s="759"/>
      <c r="EY46" s="759"/>
      <c r="EZ46" s="759"/>
      <c r="FA46" s="759"/>
      <c r="FB46" s="759"/>
      <c r="FC46" s="759"/>
      <c r="FD46" s="759"/>
      <c r="FE46" s="759"/>
      <c r="FF46" s="759"/>
      <c r="FG46" s="759"/>
      <c r="FH46" s="759"/>
      <c r="FI46" s="759"/>
      <c r="FJ46" s="759"/>
      <c r="FK46" s="759"/>
      <c r="FL46" s="759"/>
      <c r="FM46" s="759"/>
      <c r="FN46" s="759"/>
      <c r="FO46" s="759"/>
      <c r="FP46" s="759"/>
      <c r="FQ46" s="759"/>
      <c r="FR46" s="759"/>
      <c r="FS46" s="759"/>
      <c r="FT46" s="759"/>
      <c r="FU46" s="759"/>
      <c r="FV46" s="759"/>
    </row>
    <row r="47" spans="1:179" s="314" customFormat="1">
      <c r="A47" s="760" t="s">
        <v>329</v>
      </c>
      <c r="B47" s="761" t="s">
        <v>309</v>
      </c>
      <c r="C47" s="760" t="s">
        <v>323</v>
      </c>
      <c r="D47" s="760"/>
      <c r="E47" s="762"/>
      <c r="F47" s="657" t="s">
        <v>0</v>
      </c>
      <c r="G47" s="763">
        <f t="shared" si="52"/>
        <v>2748959009.0650539</v>
      </c>
      <c r="H47" s="763">
        <f t="shared" si="52"/>
        <v>2293293075.1081967</v>
      </c>
      <c r="I47" s="763">
        <f t="shared" si="52"/>
        <v>2102852530.8945458</v>
      </c>
      <c r="J47" s="763">
        <f t="shared" si="52"/>
        <v>1608804301.0083022</v>
      </c>
      <c r="K47" s="763">
        <f t="shared" si="52"/>
        <v>1701575901.5047126</v>
      </c>
      <c r="L47" s="763">
        <f t="shared" si="52"/>
        <v>1904264286.9569168</v>
      </c>
      <c r="M47" s="763">
        <f t="shared" si="52"/>
        <v>1758702050.9744532</v>
      </c>
      <c r="N47" s="763">
        <f t="shared" si="52"/>
        <v>1807119573.5430875</v>
      </c>
      <c r="O47" s="763">
        <f t="shared" si="52"/>
        <v>1575387041.4909561</v>
      </c>
      <c r="P47" s="763">
        <f t="shared" si="52"/>
        <v>1532051678.1241388</v>
      </c>
      <c r="Q47" s="763">
        <f t="shared" si="52"/>
        <v>1447872364.6820636</v>
      </c>
      <c r="R47" s="763">
        <f t="shared" si="52"/>
        <v>1270823989.87656</v>
      </c>
      <c r="S47" s="763">
        <f t="shared" si="52"/>
        <v>1427405113.4518797</v>
      </c>
      <c r="T47" s="763">
        <f t="shared" si="52"/>
        <v>1592614298.1792367</v>
      </c>
      <c r="U47" s="763">
        <f t="shared" si="52"/>
        <v>1865159949.4124982</v>
      </c>
      <c r="V47" s="763">
        <f t="shared" si="52"/>
        <v>1414974054.3000002</v>
      </c>
      <c r="W47" s="763">
        <f t="shared" si="52"/>
        <v>1181635768.9416668</v>
      </c>
      <c r="X47" s="763">
        <f t="shared" si="52"/>
        <v>1174771091.45</v>
      </c>
      <c r="Y47" s="763">
        <f t="shared" si="52"/>
        <v>1293961332.5000002</v>
      </c>
      <c r="Z47" s="763">
        <f t="shared" si="52"/>
        <v>1322695778.9916668</v>
      </c>
      <c r="AA47" s="763">
        <f t="shared" si="52"/>
        <v>1348028261.4166667</v>
      </c>
      <c r="AB47" s="763">
        <f t="shared" si="52"/>
        <v>1201136312.9666667</v>
      </c>
      <c r="AC47" s="763">
        <f t="shared" si="52"/>
        <v>1159705250.5833333</v>
      </c>
      <c r="AD47" s="763">
        <f t="shared" si="52"/>
        <v>1197005356.6000001</v>
      </c>
      <c r="AE47" s="763">
        <f t="shared" si="52"/>
        <v>1378888935.4500003</v>
      </c>
      <c r="AF47" s="763">
        <f t="shared" si="52"/>
        <v>1607488770.8583333</v>
      </c>
      <c r="AG47" s="763">
        <f t="shared" si="52"/>
        <v>1565024969.3833334</v>
      </c>
      <c r="AH47" s="763">
        <f t="shared" si="52"/>
        <v>1798849249.6083336</v>
      </c>
      <c r="AI47" s="763">
        <f t="shared" si="52"/>
        <v>2072707356.9750001</v>
      </c>
      <c r="AJ47" s="763">
        <f t="shared" si="52"/>
        <v>1916824503.491667</v>
      </c>
      <c r="AK47" s="763">
        <f t="shared" si="52"/>
        <v>1682757225.8333335</v>
      </c>
      <c r="AL47" s="763">
        <f t="shared" si="52"/>
        <v>1506705585.3833334</v>
      </c>
      <c r="AM47" s="763">
        <f t="shared" si="52"/>
        <v>1507313078.9666667</v>
      </c>
      <c r="AN47" s="763">
        <f t="shared" si="52"/>
        <v>1348757253.7166667</v>
      </c>
      <c r="AO47" s="763">
        <f t="shared" si="52"/>
        <v>1632760503.9250002</v>
      </c>
      <c r="AP47" s="763">
        <f t="shared" si="52"/>
        <v>1880800134.0000002</v>
      </c>
      <c r="AQ47" s="763">
        <f t="shared" si="52"/>
        <v>2270446518.3499999</v>
      </c>
      <c r="AR47" s="763">
        <f t="shared" si="52"/>
        <v>2264432331.875</v>
      </c>
      <c r="AS47" s="763">
        <f t="shared" si="52"/>
        <v>2298877218.0500002</v>
      </c>
      <c r="AT47" s="763">
        <f t="shared" si="52"/>
        <v>2280801217.8152146</v>
      </c>
      <c r="AU47" s="655">
        <f t="shared" si="52"/>
        <v>2051561001.1108587</v>
      </c>
      <c r="AV47" s="655">
        <f t="shared" si="52"/>
        <v>1895993546.8846843</v>
      </c>
      <c r="AW47" s="655">
        <f t="shared" si="52"/>
        <v>1893035379.8695486</v>
      </c>
      <c r="AX47" s="655">
        <f t="shared" si="52"/>
        <v>2051634039.869015</v>
      </c>
      <c r="AY47" s="655">
        <f t="shared" si="52"/>
        <v>2306138870.2628679</v>
      </c>
      <c r="AZ47" s="655">
        <f t="shared" si="52"/>
        <v>2315972977.7881145</v>
      </c>
      <c r="BA47" s="655">
        <f t="shared" si="52"/>
        <v>2450352193.8072844</v>
      </c>
      <c r="BB47" s="655">
        <f t="shared" si="52"/>
        <v>2634293642.1204391</v>
      </c>
      <c r="BC47" s="655">
        <f t="shared" si="52"/>
        <v>2928652492.1208496</v>
      </c>
      <c r="BD47" s="655">
        <f t="shared" si="52"/>
        <v>2357217910.0577374</v>
      </c>
      <c r="BE47" s="655">
        <f t="shared" si="52"/>
        <v>1913739577.4511683</v>
      </c>
      <c r="BF47" s="655">
        <f t="shared" si="52"/>
        <v>1848864743.9504259</v>
      </c>
      <c r="BG47" s="655">
        <f t="shared" si="52"/>
        <v>1903717603.7850983</v>
      </c>
      <c r="BH47" s="655">
        <f t="shared" si="52"/>
        <v>2067942450.4452426</v>
      </c>
      <c r="BI47" s="655">
        <f t="shared" si="52"/>
        <v>2173091870.1391225</v>
      </c>
      <c r="BJ47" s="655">
        <f t="shared" si="52"/>
        <v>2225371810.2978559</v>
      </c>
      <c r="BK47" s="655">
        <f t="shared" si="52"/>
        <v>1813899239.7433743</v>
      </c>
      <c r="BL47" s="655">
        <f t="shared" si="52"/>
        <v>1567541019.8801632</v>
      </c>
      <c r="BM47" s="655">
        <f t="shared" si="52"/>
        <v>1597462988.516</v>
      </c>
      <c r="BN47" s="655">
        <f t="shared" si="52"/>
        <v>1517697526.8304498</v>
      </c>
      <c r="BO47" s="655">
        <f t="shared" si="52"/>
        <v>1812440701.5444</v>
      </c>
      <c r="BP47" s="655">
        <f t="shared" si="52"/>
        <v>1866262541.0918665</v>
      </c>
      <c r="BQ47" s="655">
        <f t="shared" si="52"/>
        <v>1903038574.5947883</v>
      </c>
      <c r="BR47" s="655">
        <f t="shared" si="52"/>
        <v>2448033434.4741688</v>
      </c>
      <c r="BS47" s="655">
        <f t="shared" si="53"/>
        <v>2194199046.6185546</v>
      </c>
      <c r="BT47" s="655">
        <f t="shared" si="53"/>
        <v>1939527809.6978757</v>
      </c>
      <c r="BU47" s="655">
        <f t="shared" si="53"/>
        <v>1064857443.6394666</v>
      </c>
      <c r="BV47" s="655">
        <f t="shared" si="53"/>
        <v>1562877291.4860117</v>
      </c>
      <c r="BW47" s="655">
        <f t="shared" si="53"/>
        <v>1610858921.0063634</v>
      </c>
      <c r="BX47" s="655">
        <f t="shared" si="53"/>
        <v>1640177420.5697052</v>
      </c>
      <c r="BY47" s="655">
        <f t="shared" si="53"/>
        <v>1655978230.4587488</v>
      </c>
      <c r="BZ47" s="655">
        <f t="shared" si="53"/>
        <v>1629834439.9843309</v>
      </c>
      <c r="CA47" s="655">
        <f t="shared" si="53"/>
        <v>1673992851.3350604</v>
      </c>
      <c r="CB47" s="655">
        <f t="shared" si="53"/>
        <v>1940238250.574914</v>
      </c>
      <c r="CC47" s="655">
        <f t="shared" si="53"/>
        <v>2012248797.9879448</v>
      </c>
      <c r="CD47" s="655">
        <f t="shared" si="53"/>
        <v>2444081233.6200891</v>
      </c>
      <c r="CE47" s="655">
        <f t="shared" si="53"/>
        <v>2676104945.6031342</v>
      </c>
      <c r="CF47" s="655">
        <f t="shared" si="53"/>
        <v>2766021645.6147633</v>
      </c>
      <c r="CG47" s="655">
        <f t="shared" si="53"/>
        <v>2534763193.1005487</v>
      </c>
      <c r="CH47" s="655">
        <f t="shared" si="53"/>
        <v>2206314714.5208468</v>
      </c>
      <c r="CI47" s="655">
        <f t="shared" si="53"/>
        <v>2370384440.7796741</v>
      </c>
      <c r="CJ47" s="655">
        <f t="shared" si="53"/>
        <v>2804108915.1629715</v>
      </c>
      <c r="CK47" s="655">
        <f t="shared" si="53"/>
        <v>2971381330.4841633</v>
      </c>
      <c r="CL47" s="657">
        <f t="shared" si="53"/>
        <v>2968472221.8033333</v>
      </c>
      <c r="CM47" s="642">
        <f t="shared" si="0"/>
        <v>1894697767.933197</v>
      </c>
      <c r="CN47" s="759"/>
      <c r="CO47" s="759"/>
      <c r="CP47" s="759"/>
      <c r="CQ47" s="759"/>
      <c r="CR47" s="759"/>
      <c r="CS47" s="759"/>
      <c r="CT47" s="759"/>
      <c r="CU47" s="759"/>
      <c r="CV47" s="759"/>
      <c r="CW47" s="759"/>
      <c r="CX47" s="759"/>
      <c r="CY47" s="759"/>
      <c r="CZ47" s="759"/>
      <c r="DA47" s="759"/>
      <c r="DB47" s="759"/>
      <c r="DC47" s="759"/>
      <c r="DD47" s="759"/>
      <c r="DE47" s="759"/>
      <c r="DF47" s="759"/>
      <c r="DG47" s="759"/>
      <c r="DH47" s="759"/>
      <c r="DI47" s="759"/>
      <c r="DJ47" s="759"/>
      <c r="DK47" s="759"/>
      <c r="DL47" s="759"/>
      <c r="DM47" s="759"/>
      <c r="DN47" s="759"/>
      <c r="DO47" s="759"/>
      <c r="DP47" s="759"/>
      <c r="DQ47" s="759"/>
      <c r="DR47" s="759"/>
      <c r="DS47" s="759"/>
      <c r="DT47" s="759"/>
      <c r="DU47" s="759"/>
      <c r="DV47" s="759"/>
      <c r="DW47" s="759"/>
      <c r="DX47" s="759"/>
      <c r="DY47" s="759"/>
      <c r="DZ47" s="759"/>
      <c r="EA47" s="759"/>
      <c r="EB47" s="759"/>
      <c r="EC47" s="759"/>
      <c r="ED47" s="759"/>
      <c r="EE47" s="759"/>
      <c r="EF47" s="759"/>
      <c r="EG47" s="759"/>
      <c r="EH47" s="759"/>
      <c r="EI47" s="759"/>
      <c r="EJ47" s="759"/>
      <c r="EK47" s="759"/>
      <c r="EL47" s="759"/>
      <c r="EM47" s="759"/>
      <c r="EN47" s="759"/>
      <c r="EO47" s="759"/>
      <c r="EP47" s="759"/>
      <c r="EQ47" s="759"/>
      <c r="ER47" s="759"/>
      <c r="ES47" s="759"/>
      <c r="ET47" s="759"/>
      <c r="EU47" s="759"/>
      <c r="EV47" s="759"/>
      <c r="EW47" s="759"/>
      <c r="EX47" s="759"/>
      <c r="EY47" s="759"/>
      <c r="EZ47" s="759"/>
      <c r="FA47" s="759"/>
      <c r="FB47" s="759"/>
      <c r="FC47" s="759"/>
      <c r="FD47" s="759"/>
      <c r="FE47" s="759"/>
      <c r="FF47" s="759"/>
      <c r="FG47" s="759"/>
      <c r="FH47" s="759"/>
      <c r="FI47" s="759"/>
      <c r="FJ47" s="759"/>
      <c r="FK47" s="759"/>
      <c r="FL47" s="759"/>
      <c r="FM47" s="759"/>
      <c r="FN47" s="759"/>
      <c r="FO47" s="759"/>
      <c r="FP47" s="759"/>
      <c r="FQ47" s="759"/>
      <c r="FR47" s="759"/>
      <c r="FS47" s="759"/>
      <c r="FT47" s="759"/>
      <c r="FU47" s="759"/>
      <c r="FV47" s="759"/>
    </row>
    <row r="48" spans="1:179">
      <c r="A48" s="764" t="s">
        <v>329</v>
      </c>
      <c r="B48" s="765" t="s">
        <v>309</v>
      </c>
      <c r="C48" s="640" t="s">
        <v>323</v>
      </c>
      <c r="D48" s="640"/>
      <c r="E48" s="245"/>
      <c r="F48" s="665" t="s">
        <v>304</v>
      </c>
      <c r="G48" s="766">
        <f t="shared" ref="G48:BR49" si="54">G4*G14</f>
        <v>556625585.65250707</v>
      </c>
      <c r="H48" s="766">
        <f t="shared" si="54"/>
        <v>438835527.40303999</v>
      </c>
      <c r="I48" s="766">
        <f t="shared" si="54"/>
        <v>423976503.311378</v>
      </c>
      <c r="J48" s="766">
        <f t="shared" si="54"/>
        <v>346124986.33125669</v>
      </c>
      <c r="K48" s="766">
        <f t="shared" si="54"/>
        <v>353102550.82908803</v>
      </c>
      <c r="L48" s="766">
        <f t="shared" si="54"/>
        <v>340828462.19349068</v>
      </c>
      <c r="M48" s="766">
        <f t="shared" si="54"/>
        <v>349585250.93480539</v>
      </c>
      <c r="N48" s="766">
        <f t="shared" si="54"/>
        <v>359127243.20921671</v>
      </c>
      <c r="O48" s="766">
        <f t="shared" si="54"/>
        <v>332970476.15172005</v>
      </c>
      <c r="P48" s="766">
        <f t="shared" si="54"/>
        <v>320690470.17301506</v>
      </c>
      <c r="Q48" s="766">
        <f t="shared" si="54"/>
        <v>308686908.14997339</v>
      </c>
      <c r="R48" s="766">
        <f t="shared" si="54"/>
        <v>270778857.16742402</v>
      </c>
      <c r="S48" s="766">
        <f t="shared" si="54"/>
        <v>281551870.52743602</v>
      </c>
      <c r="T48" s="766">
        <f t="shared" si="54"/>
        <v>341211434.68296802</v>
      </c>
      <c r="U48" s="766">
        <f t="shared" si="54"/>
        <v>374690484.70866168</v>
      </c>
      <c r="V48" s="766">
        <f t="shared" si="54"/>
        <v>312097333.33333337</v>
      </c>
      <c r="W48" s="766">
        <f t="shared" si="54"/>
        <v>254841333.33333334</v>
      </c>
      <c r="X48" s="766">
        <f t="shared" si="54"/>
        <v>252937333.33333334</v>
      </c>
      <c r="Y48" s="766">
        <f t="shared" si="54"/>
        <v>276159333.33333337</v>
      </c>
      <c r="Z48" s="766">
        <f t="shared" si="54"/>
        <v>301761333.33333337</v>
      </c>
      <c r="AA48" s="766">
        <f t="shared" si="54"/>
        <v>290926666.66666669</v>
      </c>
      <c r="AB48" s="766">
        <f t="shared" si="54"/>
        <v>246284666.66666669</v>
      </c>
      <c r="AC48" s="766">
        <f t="shared" si="54"/>
        <v>230248000</v>
      </c>
      <c r="AD48" s="766">
        <f t="shared" si="54"/>
        <v>253356666.66666669</v>
      </c>
      <c r="AE48" s="766">
        <f t="shared" si="54"/>
        <v>292785333.33333337</v>
      </c>
      <c r="AF48" s="766">
        <f t="shared" si="54"/>
        <v>353860666.66666669</v>
      </c>
      <c r="AG48" s="766">
        <f t="shared" si="54"/>
        <v>337518000</v>
      </c>
      <c r="AH48" s="766">
        <f t="shared" si="54"/>
        <v>399409333.33333337</v>
      </c>
      <c r="AI48" s="766">
        <f t="shared" si="54"/>
        <v>475807333.33333337</v>
      </c>
      <c r="AJ48" s="766">
        <f t="shared" si="54"/>
        <v>467522666.66666669</v>
      </c>
      <c r="AK48" s="766">
        <f t="shared" si="54"/>
        <v>374158666.66666669</v>
      </c>
      <c r="AL48" s="766">
        <f t="shared" si="54"/>
        <v>297817333.33333337</v>
      </c>
      <c r="AM48" s="766">
        <f t="shared" si="54"/>
        <v>297930666.66666669</v>
      </c>
      <c r="AN48" s="766">
        <f t="shared" si="54"/>
        <v>278426000</v>
      </c>
      <c r="AO48" s="766">
        <f t="shared" si="54"/>
        <v>348930666.66666669</v>
      </c>
      <c r="AP48" s="766">
        <f t="shared" si="54"/>
        <v>382273333.33333337</v>
      </c>
      <c r="AQ48" s="766">
        <f t="shared" si="54"/>
        <v>446873333.33333337</v>
      </c>
      <c r="AR48" s="766">
        <f t="shared" si="54"/>
        <v>445683333.33333337</v>
      </c>
      <c r="AS48" s="766">
        <f t="shared" si="54"/>
        <v>433352666.66666669</v>
      </c>
      <c r="AT48" s="766">
        <f t="shared" si="54"/>
        <v>429928480.72903568</v>
      </c>
      <c r="AU48" s="658">
        <f t="shared" si="54"/>
        <v>385079925.02018911</v>
      </c>
      <c r="AV48" s="658">
        <f t="shared" si="54"/>
        <v>358381905.97104824</v>
      </c>
      <c r="AW48" s="658">
        <f t="shared" si="54"/>
        <v>365450349.45459408</v>
      </c>
      <c r="AX48" s="658">
        <f t="shared" si="54"/>
        <v>404426627.86456275</v>
      </c>
      <c r="AY48" s="658">
        <f t="shared" si="54"/>
        <v>450271600.75166714</v>
      </c>
      <c r="AZ48" s="658">
        <f t="shared" si="54"/>
        <v>464124553.01326114</v>
      </c>
      <c r="BA48" s="658">
        <f t="shared" si="54"/>
        <v>490336763.18999994</v>
      </c>
      <c r="BB48" s="658">
        <f t="shared" si="54"/>
        <v>543865990.58020711</v>
      </c>
      <c r="BC48" s="658">
        <f t="shared" si="54"/>
        <v>571576013.79636884</v>
      </c>
      <c r="BD48" s="658">
        <f t="shared" si="54"/>
        <v>447972006.50337148</v>
      </c>
      <c r="BE48" s="658">
        <f t="shared" si="54"/>
        <v>348009572.91704518</v>
      </c>
      <c r="BF48" s="658">
        <f t="shared" si="54"/>
        <v>352653624.82164407</v>
      </c>
      <c r="BG48" s="658">
        <f t="shared" si="54"/>
        <v>396779623.7170344</v>
      </c>
      <c r="BH48" s="658">
        <f t="shared" si="54"/>
        <v>428264388.52257901</v>
      </c>
      <c r="BI48" s="658">
        <f t="shared" si="54"/>
        <v>440493304.01240301</v>
      </c>
      <c r="BJ48" s="658">
        <f t="shared" si="54"/>
        <v>438353684.37427515</v>
      </c>
      <c r="BK48" s="658">
        <f t="shared" si="54"/>
        <v>341574302.39495516</v>
      </c>
      <c r="BL48" s="658">
        <f t="shared" si="54"/>
        <v>289550906.34884405</v>
      </c>
      <c r="BM48" s="658">
        <f t="shared" si="54"/>
        <v>303289587.04156291</v>
      </c>
      <c r="BN48" s="658">
        <f t="shared" si="54"/>
        <v>304560622.44171983</v>
      </c>
      <c r="BO48" s="658">
        <f t="shared" si="54"/>
        <v>366278522.67173648</v>
      </c>
      <c r="BP48" s="658">
        <f t="shared" si="54"/>
        <v>376871752.68364006</v>
      </c>
      <c r="BQ48" s="658">
        <f t="shared" si="54"/>
        <v>383983297.46523815</v>
      </c>
      <c r="BR48" s="658">
        <f t="shared" si="54"/>
        <v>498839665.80887091</v>
      </c>
      <c r="BS48" s="658">
        <f t="shared" ref="BS48:CL49" si="55">BS4*BS14</f>
        <v>462136776.70313042</v>
      </c>
      <c r="BT48" s="658">
        <f t="shared" si="55"/>
        <v>422339719.04686475</v>
      </c>
      <c r="BU48" s="658">
        <f t="shared" si="55"/>
        <v>216757577.51937988</v>
      </c>
      <c r="BV48" s="658">
        <f t="shared" si="55"/>
        <v>304911337</v>
      </c>
      <c r="BW48" s="658">
        <f t="shared" si="55"/>
        <v>296476164.95898461</v>
      </c>
      <c r="BX48" s="658">
        <f t="shared" si="55"/>
        <v>302313693.91750538</v>
      </c>
      <c r="BY48" s="658">
        <f t="shared" si="55"/>
        <v>305445491.78158271</v>
      </c>
      <c r="BZ48" s="658">
        <f t="shared" si="55"/>
        <v>309317829.16913664</v>
      </c>
      <c r="CA48" s="658">
        <f t="shared" si="55"/>
        <v>331013338.95160294</v>
      </c>
      <c r="CB48" s="658">
        <f t="shared" si="55"/>
        <v>387430433.51402414</v>
      </c>
      <c r="CC48" s="658">
        <f t="shared" si="55"/>
        <v>401306632.7953257</v>
      </c>
      <c r="CD48" s="658">
        <f t="shared" si="55"/>
        <v>459550694.32154572</v>
      </c>
      <c r="CE48" s="658">
        <f t="shared" si="55"/>
        <v>504916903.97234732</v>
      </c>
      <c r="CF48" s="658">
        <f t="shared" si="55"/>
        <v>513723584.20511931</v>
      </c>
      <c r="CG48" s="658">
        <f t="shared" si="55"/>
        <v>468121623.78720415</v>
      </c>
      <c r="CH48" s="658">
        <f t="shared" si="55"/>
        <v>413099474.54769146</v>
      </c>
      <c r="CI48" s="658">
        <f t="shared" si="55"/>
        <v>458131228.0794524</v>
      </c>
      <c r="CJ48" s="658">
        <f t="shared" si="55"/>
        <v>547141941.14295363</v>
      </c>
      <c r="CK48" s="658">
        <f t="shared" si="55"/>
        <v>575501124.98956645</v>
      </c>
      <c r="CL48" s="665">
        <f t="shared" si="55"/>
        <v>579275174.2837553</v>
      </c>
      <c r="CM48" s="642">
        <f t="shared" si="0"/>
        <v>379637814.62153572</v>
      </c>
      <c r="CN48" s="245"/>
      <c r="CO48" s="245"/>
      <c r="CP48" s="245"/>
      <c r="CQ48" s="245"/>
      <c r="CR48" s="245"/>
      <c r="CS48" s="245"/>
      <c r="CT48" s="245"/>
      <c r="CU48" s="245"/>
      <c r="CV48" s="245"/>
      <c r="CW48" s="245"/>
      <c r="CX48" s="245"/>
      <c r="CY48" s="245"/>
      <c r="CZ48" s="245"/>
      <c r="DA48" s="245"/>
      <c r="DB48" s="245"/>
      <c r="DC48" s="245"/>
      <c r="DD48" s="245"/>
      <c r="DE48" s="245"/>
      <c r="DF48" s="245"/>
      <c r="DG48" s="245"/>
      <c r="DH48" s="245"/>
      <c r="DI48" s="245"/>
      <c r="DJ48" s="245"/>
      <c r="DK48" s="245"/>
      <c r="DL48" s="245"/>
      <c r="DM48" s="245"/>
      <c r="DN48" s="245"/>
      <c r="DO48" s="245"/>
      <c r="DP48" s="245"/>
      <c r="DQ48" s="245"/>
      <c r="DR48" s="245"/>
      <c r="DS48" s="245"/>
      <c r="DT48" s="245"/>
      <c r="DU48" s="245"/>
      <c r="DV48" s="245"/>
      <c r="DW48" s="245"/>
      <c r="DX48" s="245"/>
      <c r="DY48" s="245"/>
      <c r="DZ48" s="245"/>
      <c r="EA48" s="245"/>
      <c r="EB48" s="245"/>
      <c r="EC48" s="245"/>
      <c r="ED48" s="245"/>
      <c r="EE48" s="245"/>
      <c r="EF48" s="245"/>
      <c r="EG48" s="245"/>
      <c r="EH48" s="245"/>
      <c r="EI48" s="245"/>
      <c r="EJ48" s="245"/>
      <c r="EK48" s="245"/>
      <c r="EL48" s="245"/>
      <c r="EM48" s="245"/>
      <c r="EN48" s="245"/>
      <c r="EO48" s="245"/>
      <c r="EP48" s="245"/>
      <c r="EQ48" s="245"/>
      <c r="ER48" s="245"/>
      <c r="ES48" s="245"/>
      <c r="ET48" s="245"/>
      <c r="EU48" s="245"/>
      <c r="EV48" s="245"/>
      <c r="EW48" s="245"/>
      <c r="EX48" s="245"/>
      <c r="EY48" s="245"/>
      <c r="EZ48" s="245"/>
      <c r="FA48" s="245"/>
      <c r="FB48" s="245"/>
      <c r="FC48" s="245"/>
      <c r="FD48" s="245"/>
      <c r="FE48" s="245"/>
      <c r="FF48" s="245"/>
      <c r="FG48" s="245"/>
      <c r="FH48" s="245"/>
      <c r="FI48" s="245"/>
      <c r="FJ48" s="245"/>
      <c r="FK48" s="245"/>
      <c r="FL48" s="245"/>
      <c r="FM48" s="245"/>
      <c r="FN48" s="245"/>
      <c r="FO48" s="245"/>
      <c r="FP48" s="245"/>
      <c r="FQ48" s="245"/>
      <c r="FR48" s="245"/>
      <c r="FS48" s="245"/>
      <c r="FT48" s="245"/>
      <c r="FU48" s="245"/>
      <c r="FV48" s="245"/>
    </row>
    <row r="49" spans="1:178">
      <c r="A49" s="764" t="s">
        <v>329</v>
      </c>
      <c r="B49" s="765" t="s">
        <v>309</v>
      </c>
      <c r="C49" s="640" t="s">
        <v>323</v>
      </c>
      <c r="D49" s="640"/>
      <c r="E49" s="245"/>
      <c r="F49" s="665" t="s">
        <v>1</v>
      </c>
      <c r="G49" s="766">
        <f t="shared" si="54"/>
        <v>9047457819.6088428</v>
      </c>
      <c r="H49" s="766">
        <f t="shared" si="54"/>
        <v>8136231903.1581335</v>
      </c>
      <c r="I49" s="766">
        <f t="shared" si="54"/>
        <v>6467101537.1417408</v>
      </c>
      <c r="J49" s="766">
        <f t="shared" si="54"/>
        <v>5083308802.4483137</v>
      </c>
      <c r="K49" s="766">
        <f t="shared" si="54"/>
        <v>6427802981.7036819</v>
      </c>
      <c r="L49" s="766">
        <f t="shared" si="54"/>
        <v>6397442563.0303745</v>
      </c>
      <c r="M49" s="766">
        <f t="shared" si="54"/>
        <v>6745513395.2256546</v>
      </c>
      <c r="N49" s="766">
        <f t="shared" si="54"/>
        <v>7206872410.8659554</v>
      </c>
      <c r="O49" s="766">
        <f t="shared" si="54"/>
        <v>6994573758.406415</v>
      </c>
      <c r="P49" s="766">
        <f t="shared" si="54"/>
        <v>6018916510.4536858</v>
      </c>
      <c r="Q49" s="766">
        <f t="shared" si="54"/>
        <v>5343058591.0010509</v>
      </c>
      <c r="R49" s="766">
        <f t="shared" si="54"/>
        <v>5695954647.9618559</v>
      </c>
      <c r="S49" s="766">
        <f t="shared" si="54"/>
        <v>5898433180.152441</v>
      </c>
      <c r="T49" s="766">
        <f t="shared" si="54"/>
        <v>5945431184.235836</v>
      </c>
      <c r="U49" s="766">
        <f t="shared" si="54"/>
        <v>5482216599.2344646</v>
      </c>
      <c r="V49" s="766">
        <f t="shared" si="54"/>
        <v>4447486297.8983698</v>
      </c>
      <c r="W49" s="766">
        <f t="shared" si="54"/>
        <v>4238469274.3436484</v>
      </c>
      <c r="X49" s="766">
        <f t="shared" si="54"/>
        <v>4798479803.5033264</v>
      </c>
      <c r="Y49" s="766">
        <f t="shared" si="54"/>
        <v>5198608464.3701715</v>
      </c>
      <c r="Z49" s="766">
        <f t="shared" si="54"/>
        <v>5479914008.5459194</v>
      </c>
      <c r="AA49" s="766">
        <f t="shared" si="54"/>
        <v>5681827320.7714462</v>
      </c>
      <c r="AB49" s="766">
        <f t="shared" si="54"/>
        <v>5176541448.1413298</v>
      </c>
      <c r="AC49" s="766">
        <f t="shared" si="54"/>
        <v>4972431378.3252821</v>
      </c>
      <c r="AD49" s="766">
        <f t="shared" si="54"/>
        <v>5299884748.3039875</v>
      </c>
      <c r="AE49" s="766">
        <f t="shared" si="54"/>
        <v>5931824129.5675983</v>
      </c>
      <c r="AF49" s="766">
        <f t="shared" si="54"/>
        <v>5878931836.7810659</v>
      </c>
      <c r="AG49" s="766">
        <f t="shared" si="54"/>
        <v>6492829416.4002085</v>
      </c>
      <c r="AH49" s="766">
        <f t="shared" si="54"/>
        <v>6983703353.85987</v>
      </c>
      <c r="AI49" s="766">
        <f t="shared" si="54"/>
        <v>6948029699.5792131</v>
      </c>
      <c r="AJ49" s="766">
        <f t="shared" si="54"/>
        <v>6151778974.2511053</v>
      </c>
      <c r="AK49" s="766">
        <f t="shared" si="54"/>
        <v>6201481611.705308</v>
      </c>
      <c r="AL49" s="766">
        <f t="shared" si="54"/>
        <v>5773080441.7120237</v>
      </c>
      <c r="AM49" s="766">
        <f t="shared" si="54"/>
        <v>5337930435.7122049</v>
      </c>
      <c r="AN49" s="766">
        <f t="shared" si="54"/>
        <v>5479283783.0496054</v>
      </c>
      <c r="AO49" s="766">
        <f t="shared" si="54"/>
        <v>5968160714.7225504</v>
      </c>
      <c r="AP49" s="766">
        <f t="shared" si="54"/>
        <v>6576819606.5250006</v>
      </c>
      <c r="AQ49" s="766">
        <f t="shared" si="54"/>
        <v>6918202389.1996288</v>
      </c>
      <c r="AR49" s="766">
        <f t="shared" si="54"/>
        <v>7685043446.2784824</v>
      </c>
      <c r="AS49" s="766">
        <f t="shared" si="54"/>
        <v>7648957500.7068005</v>
      </c>
      <c r="AT49" s="766">
        <f t="shared" si="54"/>
        <v>5030202217.9910574</v>
      </c>
      <c r="AU49" s="658">
        <f t="shared" si="54"/>
        <v>4696037514.2893448</v>
      </c>
      <c r="AV49" s="658">
        <f t="shared" si="54"/>
        <v>4966609196.5035572</v>
      </c>
      <c r="AW49" s="658">
        <f t="shared" si="54"/>
        <v>5156735108.5827198</v>
      </c>
      <c r="AX49" s="658">
        <f t="shared" si="54"/>
        <v>5783180778.2421961</v>
      </c>
      <c r="AY49" s="658">
        <f t="shared" si="54"/>
        <v>5684026050.8294287</v>
      </c>
      <c r="AZ49" s="658">
        <f t="shared" si="54"/>
        <v>5930735442.4069881</v>
      </c>
      <c r="BA49" s="658">
        <f t="shared" si="54"/>
        <v>6101645450.4320116</v>
      </c>
      <c r="BB49" s="658">
        <f t="shared" si="54"/>
        <v>6494321631.537281</v>
      </c>
      <c r="BC49" s="658">
        <f t="shared" si="54"/>
        <v>6677123582.1894426</v>
      </c>
      <c r="BD49" s="658">
        <f t="shared" si="54"/>
        <v>4908005751.3308287</v>
      </c>
      <c r="BE49" s="658">
        <f t="shared" si="54"/>
        <v>4213774854.3266935</v>
      </c>
      <c r="BF49" s="658">
        <f t="shared" si="54"/>
        <v>4289918510.497251</v>
      </c>
      <c r="BG49" s="658">
        <f t="shared" si="54"/>
        <v>4764343215.0946264</v>
      </c>
      <c r="BH49" s="658">
        <f t="shared" si="54"/>
        <v>4987618472.2459564</v>
      </c>
      <c r="BI49" s="658">
        <f t="shared" si="54"/>
        <v>5400137510.1751614</v>
      </c>
      <c r="BJ49" s="658">
        <f t="shared" si="54"/>
        <v>5340036481.5680666</v>
      </c>
      <c r="BK49" s="658">
        <f t="shared" si="54"/>
        <v>4404217760.1270571</v>
      </c>
      <c r="BL49" s="658">
        <f t="shared" si="54"/>
        <v>4678885617.810997</v>
      </c>
      <c r="BM49" s="658">
        <f t="shared" si="54"/>
        <v>4395803062.5862684</v>
      </c>
      <c r="BN49" s="658">
        <f t="shared" si="54"/>
        <v>4556645632.7140312</v>
      </c>
      <c r="BO49" s="658">
        <f t="shared" si="54"/>
        <v>4854623755.9281235</v>
      </c>
      <c r="BP49" s="658">
        <f t="shared" si="54"/>
        <v>4860963964.634923</v>
      </c>
      <c r="BQ49" s="658">
        <f t="shared" si="54"/>
        <v>5264265093.3009176</v>
      </c>
      <c r="BR49" s="658">
        <f t="shared" si="54"/>
        <v>5102239717.3726568</v>
      </c>
      <c r="BS49" s="658">
        <f t="shared" si="55"/>
        <v>4557642401.9652891</v>
      </c>
      <c r="BT49" s="658">
        <f t="shared" si="55"/>
        <v>2930708447.3615656</v>
      </c>
      <c r="BU49" s="658">
        <f t="shared" si="55"/>
        <v>5587216503.4159889</v>
      </c>
      <c r="BV49" s="658">
        <f t="shared" si="55"/>
        <v>4872350017.9123583</v>
      </c>
      <c r="BW49" s="658">
        <f t="shared" si="55"/>
        <v>5400952681.235425</v>
      </c>
      <c r="BX49" s="658">
        <f t="shared" si="55"/>
        <v>3891170028.2907062</v>
      </c>
      <c r="BY49" s="658">
        <f t="shared" si="55"/>
        <v>3933018157.6299548</v>
      </c>
      <c r="BZ49" s="658">
        <f t="shared" si="55"/>
        <v>3768567776.355536</v>
      </c>
      <c r="CA49" s="658">
        <f t="shared" si="55"/>
        <v>3117196435.8266759</v>
      </c>
      <c r="CB49" s="658">
        <f t="shared" si="55"/>
        <v>3716058549.3068819</v>
      </c>
      <c r="CC49" s="658">
        <f t="shared" si="55"/>
        <v>4282108683.9819984</v>
      </c>
      <c r="CD49" s="658">
        <f t="shared" si="55"/>
        <v>4880338833.9860449</v>
      </c>
      <c r="CE49" s="658">
        <f t="shared" si="55"/>
        <v>5388093340.0656729</v>
      </c>
      <c r="CF49" s="658">
        <f t="shared" si="55"/>
        <v>5765184638.427537</v>
      </c>
      <c r="CG49" s="658">
        <f t="shared" si="55"/>
        <v>5512504536.7665443</v>
      </c>
      <c r="CH49" s="658">
        <f t="shared" si="55"/>
        <v>5808469798.17274</v>
      </c>
      <c r="CI49" s="658">
        <f t="shared" si="55"/>
        <v>6278124365.1220627</v>
      </c>
      <c r="CJ49" s="658">
        <f t="shared" si="55"/>
        <v>6692115965.5554724</v>
      </c>
      <c r="CK49" s="658">
        <f t="shared" si="55"/>
        <v>6438478441.353652</v>
      </c>
      <c r="CL49" s="665">
        <f t="shared" si="55"/>
        <v>6604833704.6826477</v>
      </c>
      <c r="CM49" s="642">
        <f t="shared" si="0"/>
        <v>5549133876.7739868</v>
      </c>
      <c r="CN49" s="245"/>
      <c r="CO49" s="245"/>
      <c r="CP49" s="245"/>
      <c r="CQ49" s="245"/>
      <c r="CR49" s="245"/>
      <c r="CS49" s="245"/>
      <c r="CT49" s="245"/>
      <c r="CU49" s="245"/>
      <c r="CV49" s="245"/>
      <c r="CW49" s="245"/>
      <c r="CX49" s="245"/>
      <c r="CY49" s="245"/>
      <c r="CZ49" s="245"/>
      <c r="DA49" s="245"/>
      <c r="DB49" s="245"/>
      <c r="DC49" s="245"/>
      <c r="DD49" s="245"/>
      <c r="DE49" s="245"/>
      <c r="DF49" s="245"/>
      <c r="DG49" s="245"/>
      <c r="DH49" s="245"/>
      <c r="DI49" s="245"/>
      <c r="DJ49" s="245"/>
      <c r="DK49" s="245"/>
      <c r="DL49" s="245"/>
      <c r="DM49" s="245"/>
      <c r="DN49" s="245"/>
      <c r="DO49" s="245"/>
      <c r="DP49" s="245"/>
      <c r="DQ49" s="245"/>
      <c r="DR49" s="245"/>
      <c r="DS49" s="245"/>
      <c r="DT49" s="245"/>
      <c r="DU49" s="245"/>
      <c r="DV49" s="245"/>
      <c r="DW49" s="245"/>
      <c r="DX49" s="245"/>
      <c r="DY49" s="245"/>
      <c r="DZ49" s="245"/>
      <c r="EA49" s="245"/>
      <c r="EB49" s="245"/>
      <c r="EC49" s="245"/>
      <c r="ED49" s="245"/>
      <c r="EE49" s="245"/>
      <c r="EF49" s="245"/>
      <c r="EG49" s="245"/>
      <c r="EH49" s="245"/>
      <c r="EI49" s="245"/>
      <c r="EJ49" s="245"/>
      <c r="EK49" s="245"/>
      <c r="EL49" s="245"/>
      <c r="EM49" s="245"/>
      <c r="EN49" s="245"/>
      <c r="EO49" s="245"/>
      <c r="EP49" s="245"/>
      <c r="EQ49" s="245"/>
      <c r="ER49" s="245"/>
      <c r="ES49" s="245"/>
      <c r="ET49" s="245"/>
      <c r="EU49" s="245"/>
      <c r="EV49" s="245"/>
      <c r="EW49" s="245"/>
      <c r="EX49" s="245"/>
      <c r="EY49" s="245"/>
      <c r="EZ49" s="245"/>
      <c r="FA49" s="245"/>
      <c r="FB49" s="245"/>
      <c r="FC49" s="245"/>
      <c r="FD49" s="245"/>
      <c r="FE49" s="245"/>
      <c r="FF49" s="245"/>
      <c r="FG49" s="245"/>
      <c r="FH49" s="245"/>
      <c r="FI49" s="245"/>
      <c r="FJ49" s="245"/>
      <c r="FK49" s="245"/>
      <c r="FL49" s="245"/>
      <c r="FM49" s="245"/>
      <c r="FN49" s="245"/>
      <c r="FO49" s="245"/>
      <c r="FP49" s="245"/>
      <c r="FQ49" s="245"/>
      <c r="FR49" s="245"/>
      <c r="FS49" s="245"/>
      <c r="FT49" s="245"/>
      <c r="FU49" s="245"/>
      <c r="FV49" s="245"/>
    </row>
    <row r="50" spans="1:178">
      <c r="A50" s="764" t="s">
        <v>330</v>
      </c>
      <c r="B50" s="765" t="s">
        <v>309</v>
      </c>
      <c r="C50" s="640" t="s">
        <v>323</v>
      </c>
      <c r="D50" s="640"/>
      <c r="E50" s="245"/>
      <c r="F50" s="665" t="s">
        <v>331</v>
      </c>
      <c r="G50" s="766">
        <f t="shared" ref="G50:BR50" si="56">G46*$CO$4+G47*$CP$4+G48*$CQ$4+G49*$CR$4</f>
        <v>8530402753.5654879</v>
      </c>
      <c r="H50" s="766">
        <f t="shared" si="56"/>
        <v>7764514059.0486784</v>
      </c>
      <c r="I50" s="766">
        <f t="shared" si="56"/>
        <v>6677152043.9956207</v>
      </c>
      <c r="J50" s="766">
        <f t="shared" si="56"/>
        <v>5498716184.2238598</v>
      </c>
      <c r="K50" s="766">
        <f t="shared" si="56"/>
        <v>6341286108.022913</v>
      </c>
      <c r="L50" s="766">
        <f t="shared" si="56"/>
        <v>6455227296.6223383</v>
      </c>
      <c r="M50" s="766">
        <f t="shared" si="56"/>
        <v>6569092703.1766472</v>
      </c>
      <c r="N50" s="766">
        <f t="shared" si="56"/>
        <v>6886091722.5079699</v>
      </c>
      <c r="O50" s="766">
        <f t="shared" si="56"/>
        <v>6536614668.1376305</v>
      </c>
      <c r="P50" s="766">
        <f t="shared" si="56"/>
        <v>5934108283.2999334</v>
      </c>
      <c r="Q50" s="766">
        <f t="shared" si="56"/>
        <v>5496763820.9957142</v>
      </c>
      <c r="R50" s="766">
        <f t="shared" si="56"/>
        <v>5575205654.5692072</v>
      </c>
      <c r="S50" s="766">
        <f t="shared" si="56"/>
        <v>5788813337.4749403</v>
      </c>
      <c r="T50" s="766">
        <f t="shared" si="56"/>
        <v>5971432191.9472561</v>
      </c>
      <c r="U50" s="766">
        <f t="shared" si="56"/>
        <v>5771546464.9633579</v>
      </c>
      <c r="V50" s="766">
        <f t="shared" si="56"/>
        <v>4849824257.7600536</v>
      </c>
      <c r="W50" s="766">
        <f t="shared" si="56"/>
        <v>4547037673.5427065</v>
      </c>
      <c r="X50" s="766">
        <f t="shared" si="56"/>
        <v>4852236177.1181469</v>
      </c>
      <c r="Y50" s="766">
        <f t="shared" si="56"/>
        <v>5053564668.1724453</v>
      </c>
      <c r="Z50" s="766">
        <f t="shared" si="56"/>
        <v>5253108300.1589079</v>
      </c>
      <c r="AA50" s="766">
        <f t="shared" si="56"/>
        <v>5382560504.6463375</v>
      </c>
      <c r="AB50" s="766">
        <f t="shared" si="56"/>
        <v>4965525983.555438</v>
      </c>
      <c r="AC50" s="766">
        <f t="shared" si="56"/>
        <v>4810903859.3512363</v>
      </c>
      <c r="AD50" s="766">
        <f t="shared" si="56"/>
        <v>5037005962.0822563</v>
      </c>
      <c r="AE50" s="766">
        <f t="shared" si="56"/>
        <v>5455012933.5088539</v>
      </c>
      <c r="AF50" s="766">
        <f t="shared" si="56"/>
        <v>5617862227.3663216</v>
      </c>
      <c r="AG50" s="766">
        <f t="shared" si="56"/>
        <v>5934123890.5402842</v>
      </c>
      <c r="AH50" s="766">
        <f t="shared" si="56"/>
        <v>6408718631.9246922</v>
      </c>
      <c r="AI50" s="766">
        <f t="shared" si="56"/>
        <v>6605696839.4604263</v>
      </c>
      <c r="AJ50" s="766">
        <f t="shared" si="56"/>
        <v>6029897596.5889225</v>
      </c>
      <c r="AK50" s="766">
        <f t="shared" si="56"/>
        <v>5840630076.5207186</v>
      </c>
      <c r="AL50" s="766">
        <f t="shared" si="56"/>
        <v>5432911918.3103619</v>
      </c>
      <c r="AM50" s="766">
        <f t="shared" si="56"/>
        <v>5181599814.1364174</v>
      </c>
      <c r="AN50" s="766">
        <f t="shared" si="56"/>
        <v>5146674460.0152397</v>
      </c>
      <c r="AO50" s="766">
        <f t="shared" si="56"/>
        <v>5656093215.5659714</v>
      </c>
      <c r="AP50" s="766">
        <f t="shared" si="56"/>
        <v>6193361673.5599861</v>
      </c>
      <c r="AQ50" s="766">
        <f t="shared" si="56"/>
        <v>6751141156.792264</v>
      </c>
      <c r="AR50" s="766">
        <f t="shared" si="56"/>
        <v>7189788493.5827274</v>
      </c>
      <c r="AS50" s="766">
        <f t="shared" si="56"/>
        <v>7178145703.7697659</v>
      </c>
      <c r="AT50" s="766">
        <f t="shared" si="56"/>
        <v>6018218841.6087494</v>
      </c>
      <c r="AU50" s="658">
        <f t="shared" si="56"/>
        <v>5652297659.7882071</v>
      </c>
      <c r="AV50" s="658">
        <f t="shared" si="56"/>
        <v>5938740230.337965</v>
      </c>
      <c r="AW50" s="658">
        <f t="shared" si="56"/>
        <v>6013219807.0803194</v>
      </c>
      <c r="AX50" s="658">
        <f t="shared" si="56"/>
        <v>6158750082.1766682</v>
      </c>
      <c r="AY50" s="658">
        <f t="shared" si="56"/>
        <v>6753115249.5705585</v>
      </c>
      <c r="AZ50" s="658">
        <f t="shared" si="56"/>
        <v>7118038576.6812658</v>
      </c>
      <c r="BA50" s="658">
        <f t="shared" si="56"/>
        <v>7384894901.635294</v>
      </c>
      <c r="BB50" s="658">
        <f t="shared" si="56"/>
        <v>7778675782.1568642</v>
      </c>
      <c r="BC50" s="658">
        <f t="shared" si="56"/>
        <v>7338962067.0605879</v>
      </c>
      <c r="BD50" s="658">
        <f t="shared" si="56"/>
        <v>5738225061.6714478</v>
      </c>
      <c r="BE50" s="658">
        <f t="shared" si="56"/>
        <v>4988380534.2075262</v>
      </c>
      <c r="BF50" s="658">
        <f t="shared" si="56"/>
        <v>5022739878.0982075</v>
      </c>
      <c r="BG50" s="658">
        <f t="shared" si="56"/>
        <v>5331371796.42696</v>
      </c>
      <c r="BH50" s="658">
        <f t="shared" si="56"/>
        <v>5589835860.9681931</v>
      </c>
      <c r="BI50" s="658">
        <f t="shared" si="56"/>
        <v>5964246674.9713125</v>
      </c>
      <c r="BJ50" s="658">
        <f t="shared" si="56"/>
        <v>5958196363.5134048</v>
      </c>
      <c r="BK50" s="658">
        <f t="shared" si="56"/>
        <v>5102701431.9134417</v>
      </c>
      <c r="BL50" s="658">
        <f t="shared" si="56"/>
        <v>5080292825.4896526</v>
      </c>
      <c r="BM50" s="658">
        <f t="shared" si="56"/>
        <v>4978366927.8897991</v>
      </c>
      <c r="BN50" s="658">
        <f t="shared" si="56"/>
        <v>4966148196.7766018</v>
      </c>
      <c r="BO50" s="658">
        <f t="shared" si="56"/>
        <v>5288887021.8525772</v>
      </c>
      <c r="BP50" s="658">
        <f t="shared" si="56"/>
        <v>5333834911.1779938</v>
      </c>
      <c r="BQ50" s="658">
        <f t="shared" si="56"/>
        <v>5612911916.7418699</v>
      </c>
      <c r="BR50" s="658">
        <f t="shared" si="56"/>
        <v>5970600812.9051151</v>
      </c>
      <c r="BS50" s="658">
        <f t="shared" ref="BS50:CL50" si="57">BS46*$CO$4+BS47*$CP$4+BS48*$CQ$4+BS49*$CR$4</f>
        <v>5483088672.9042568</v>
      </c>
      <c r="BT50" s="658">
        <f t="shared" si="57"/>
        <v>4318618210.6591778</v>
      </c>
      <c r="BU50" s="658">
        <f t="shared" si="57"/>
        <v>5027060424.7329636</v>
      </c>
      <c r="BV50" s="658">
        <f t="shared" si="57"/>
        <v>5003009762.5413418</v>
      </c>
      <c r="BW50" s="658">
        <f t="shared" si="57"/>
        <v>5358374050.7268009</v>
      </c>
      <c r="BX50" s="658">
        <f t="shared" si="57"/>
        <v>4481136823.4408646</v>
      </c>
      <c r="BY50" s="658">
        <f t="shared" si="57"/>
        <v>4538113004.2209625</v>
      </c>
      <c r="BZ50" s="658">
        <f t="shared" si="57"/>
        <v>4462475507.9961872</v>
      </c>
      <c r="CA50" s="658">
        <f t="shared" si="57"/>
        <v>3989781303.8524714</v>
      </c>
      <c r="CB50" s="658">
        <f t="shared" si="57"/>
        <v>4513451113.577343</v>
      </c>
      <c r="CC50" s="658">
        <f t="shared" si="57"/>
        <v>4953425657.1573496</v>
      </c>
      <c r="CD50" s="658">
        <f t="shared" si="57"/>
        <v>5581229069.3444729</v>
      </c>
      <c r="CE50" s="658">
        <f t="shared" si="57"/>
        <v>6079948336.9101601</v>
      </c>
      <c r="CF50" s="658">
        <f t="shared" si="57"/>
        <v>6369746434.4960642</v>
      </c>
      <c r="CG50" s="658">
        <f t="shared" si="57"/>
        <v>6026728467.4684181</v>
      </c>
      <c r="CH50" s="658">
        <f t="shared" si="57"/>
        <v>5962436626.7826633</v>
      </c>
      <c r="CI50" s="658">
        <f t="shared" si="57"/>
        <v>6364063159.7277718</v>
      </c>
      <c r="CJ50" s="658">
        <f t="shared" si="57"/>
        <v>6951363962.7886696</v>
      </c>
      <c r="CK50" s="658">
        <f t="shared" si="57"/>
        <v>6897427828.2551594</v>
      </c>
      <c r="CL50" s="665">
        <f t="shared" si="57"/>
        <v>6997633151.0164948</v>
      </c>
      <c r="CM50" s="642">
        <f t="shared" si="0"/>
        <v>5804894741.5700274</v>
      </c>
      <c r="CN50" s="245"/>
      <c r="CO50" s="245"/>
      <c r="CP50" s="245"/>
      <c r="CQ50" s="245"/>
      <c r="CR50" s="245"/>
      <c r="CS50" s="245"/>
      <c r="CT50" s="245"/>
      <c r="CU50" s="245"/>
      <c r="CV50" s="245"/>
      <c r="CW50" s="245"/>
      <c r="CX50" s="245"/>
      <c r="CY50" s="245"/>
      <c r="CZ50" s="245"/>
      <c r="DA50" s="245"/>
      <c r="DB50" s="245"/>
      <c r="DC50" s="245"/>
      <c r="DD50" s="245"/>
      <c r="DE50" s="245"/>
      <c r="DF50" s="245"/>
      <c r="DG50" s="245"/>
      <c r="DH50" s="245"/>
      <c r="DI50" s="245"/>
      <c r="DJ50" s="245"/>
      <c r="DK50" s="245"/>
      <c r="DL50" s="245"/>
      <c r="DM50" s="245"/>
      <c r="DN50" s="245"/>
      <c r="DO50" s="245"/>
      <c r="DP50" s="245"/>
      <c r="DQ50" s="245"/>
      <c r="DR50" s="245"/>
      <c r="DS50" s="245"/>
      <c r="DT50" s="245"/>
      <c r="DU50" s="245"/>
      <c r="DV50" s="245"/>
      <c r="DW50" s="245"/>
      <c r="DX50" s="245"/>
      <c r="DY50" s="245"/>
      <c r="DZ50" s="245"/>
      <c r="EA50" s="245"/>
      <c r="EB50" s="245"/>
      <c r="EC50" s="245"/>
      <c r="ED50" s="245"/>
      <c r="EE50" s="245"/>
      <c r="EF50" s="245"/>
      <c r="EG50" s="245"/>
      <c r="EH50" s="245"/>
      <c r="EI50" s="245"/>
      <c r="EJ50" s="245"/>
      <c r="EK50" s="245"/>
      <c r="EL50" s="245"/>
      <c r="EM50" s="245"/>
      <c r="EN50" s="245"/>
      <c r="EO50" s="245"/>
      <c r="EP50" s="245"/>
      <c r="EQ50" s="245"/>
      <c r="ER50" s="245"/>
      <c r="ES50" s="245"/>
      <c r="ET50" s="245"/>
      <c r="EU50" s="245"/>
      <c r="EV50" s="245"/>
      <c r="EW50" s="245"/>
      <c r="EX50" s="245"/>
      <c r="EY50" s="245"/>
      <c r="EZ50" s="245"/>
      <c r="FA50" s="245"/>
      <c r="FB50" s="245"/>
      <c r="FC50" s="245"/>
      <c r="FD50" s="245"/>
      <c r="FE50" s="245"/>
      <c r="FF50" s="245"/>
      <c r="FG50" s="245"/>
      <c r="FH50" s="245"/>
      <c r="FI50" s="245"/>
      <c r="FJ50" s="245"/>
      <c r="FK50" s="245"/>
      <c r="FL50" s="245"/>
      <c r="FM50" s="245"/>
      <c r="FN50" s="245"/>
      <c r="FO50" s="245"/>
      <c r="FP50" s="245"/>
      <c r="FQ50" s="245"/>
      <c r="FR50" s="245"/>
      <c r="FS50" s="245"/>
      <c r="FT50" s="245"/>
      <c r="FU50" s="245"/>
      <c r="FV50" s="245"/>
    </row>
    <row r="51" spans="1:178">
      <c r="A51" s="764" t="s">
        <v>332</v>
      </c>
      <c r="B51" s="765" t="s">
        <v>309</v>
      </c>
      <c r="C51" s="640" t="s">
        <v>323</v>
      </c>
      <c r="D51" s="640"/>
      <c r="E51" s="245"/>
      <c r="F51" s="665" t="s">
        <v>333</v>
      </c>
      <c r="G51" s="766">
        <f t="shared" ref="G51:BR51" si="58">$CO$5*G46+G47*$CP$5+G48*$CQ$5+G49*$CR$5</f>
        <v>5000516105.8392601</v>
      </c>
      <c r="H51" s="766">
        <f t="shared" si="58"/>
        <v>4412594669.9539051</v>
      </c>
      <c r="I51" s="766">
        <f t="shared" si="58"/>
        <v>3638407798.1677938</v>
      </c>
      <c r="J51" s="766">
        <f t="shared" si="58"/>
        <v>2853498473.8000784</v>
      </c>
      <c r="K51" s="766">
        <f t="shared" si="58"/>
        <v>3454336549.5018721</v>
      </c>
      <c r="L51" s="766">
        <f t="shared" si="58"/>
        <v>3505944547.2625885</v>
      </c>
      <c r="M51" s="766">
        <f t="shared" si="58"/>
        <v>3606316510.7908936</v>
      </c>
      <c r="N51" s="766">
        <f t="shared" si="58"/>
        <v>3821344021.2642226</v>
      </c>
      <c r="O51" s="766">
        <f t="shared" si="58"/>
        <v>3640769335.0457516</v>
      </c>
      <c r="P51" s="766">
        <f t="shared" si="58"/>
        <v>3209912730.3669705</v>
      </c>
      <c r="Q51" s="766">
        <f t="shared" si="58"/>
        <v>2891623034.8620272</v>
      </c>
      <c r="R51" s="766">
        <f t="shared" si="58"/>
        <v>2963698805.6067882</v>
      </c>
      <c r="S51" s="766">
        <f t="shared" si="58"/>
        <v>3107018400.0556931</v>
      </c>
      <c r="T51" s="766">
        <f t="shared" si="58"/>
        <v>3208720044.0159845</v>
      </c>
      <c r="U51" s="766">
        <f t="shared" si="58"/>
        <v>3119635271.1450491</v>
      </c>
      <c r="V51" s="766">
        <f t="shared" si="58"/>
        <v>2503369610.5617065</v>
      </c>
      <c r="W51" s="766">
        <f t="shared" si="58"/>
        <v>2311310370.9209547</v>
      </c>
      <c r="X51" s="766">
        <f t="shared" si="58"/>
        <v>2543785517.7087245</v>
      </c>
      <c r="Y51" s="766">
        <f t="shared" si="58"/>
        <v>2761414698.4707284</v>
      </c>
      <c r="Z51" s="766">
        <f t="shared" si="58"/>
        <v>2900527051.0019927</v>
      </c>
      <c r="AA51" s="766">
        <f t="shared" si="58"/>
        <v>2989693233.5817375</v>
      </c>
      <c r="AB51" s="766">
        <f t="shared" si="58"/>
        <v>2707755772.2228732</v>
      </c>
      <c r="AC51" s="766">
        <f t="shared" si="58"/>
        <v>2600858173.5294867</v>
      </c>
      <c r="AD51" s="766">
        <f t="shared" si="58"/>
        <v>2761235186.391099</v>
      </c>
      <c r="AE51" s="766">
        <f t="shared" si="58"/>
        <v>3105176513.8117275</v>
      </c>
      <c r="AF51" s="766">
        <f t="shared" si="58"/>
        <v>3187095298.2511187</v>
      </c>
      <c r="AG51" s="766">
        <f t="shared" si="58"/>
        <v>3424116563.8806953</v>
      </c>
      <c r="AH51" s="766">
        <f t="shared" si="58"/>
        <v>3737039340.7704945</v>
      </c>
      <c r="AI51" s="766">
        <f t="shared" si="58"/>
        <v>3848000606.0379324</v>
      </c>
      <c r="AJ51" s="766">
        <f t="shared" si="58"/>
        <v>3455710894.0895782</v>
      </c>
      <c r="AK51" s="766">
        <f t="shared" si="58"/>
        <v>3356951448.2234449</v>
      </c>
      <c r="AL51" s="766">
        <f t="shared" si="58"/>
        <v>3084070071.168891</v>
      </c>
      <c r="AM51" s="766">
        <f t="shared" si="58"/>
        <v>2901106872.7573104</v>
      </c>
      <c r="AN51" s="766">
        <f t="shared" si="58"/>
        <v>2898034028.3122616</v>
      </c>
      <c r="AO51" s="766">
        <f t="shared" si="58"/>
        <v>3230922684.1074557</v>
      </c>
      <c r="AP51" s="766">
        <f t="shared" si="58"/>
        <v>3586312823.7103486</v>
      </c>
      <c r="AQ51" s="766">
        <f t="shared" si="58"/>
        <v>3891659201.9805822</v>
      </c>
      <c r="AR51" s="766">
        <f t="shared" si="58"/>
        <v>4211968390.7147422</v>
      </c>
      <c r="AS51" s="766">
        <f t="shared" si="58"/>
        <v>4203315937.0225182</v>
      </c>
      <c r="AT51" s="766">
        <f t="shared" si="58"/>
        <v>3097555758.1031346</v>
      </c>
      <c r="AU51" s="658">
        <f t="shared" si="58"/>
        <v>2859425205.4915657</v>
      </c>
      <c r="AV51" s="658">
        <f t="shared" si="58"/>
        <v>2911789520.706151</v>
      </c>
      <c r="AW51" s="658">
        <f t="shared" si="58"/>
        <v>2993344230.4775147</v>
      </c>
      <c r="AX51" s="658">
        <f t="shared" si="58"/>
        <v>3323704234.9436264</v>
      </c>
      <c r="AY51" s="658">
        <f t="shared" si="58"/>
        <v>3394101976.1147513</v>
      </c>
      <c r="AZ51" s="658">
        <f t="shared" si="58"/>
        <v>3509715948.1301737</v>
      </c>
      <c r="BA51" s="658">
        <f t="shared" si="58"/>
        <v>3639573341.0752177</v>
      </c>
      <c r="BB51" s="658">
        <f t="shared" si="58"/>
        <v>3890692693.4882402</v>
      </c>
      <c r="BC51" s="658">
        <f t="shared" si="58"/>
        <v>4071044727.8123894</v>
      </c>
      <c r="BD51" s="658">
        <f t="shared" si="58"/>
        <v>3076610294.6793108</v>
      </c>
      <c r="BE51" s="658">
        <f t="shared" si="58"/>
        <v>2590180220.8867836</v>
      </c>
      <c r="BF51" s="658">
        <f t="shared" si="58"/>
        <v>2602321828.9666276</v>
      </c>
      <c r="BG51" s="658">
        <f t="shared" si="58"/>
        <v>2839128737.5446415</v>
      </c>
      <c r="BH51" s="658">
        <f t="shared" si="58"/>
        <v>3002738999.3044791</v>
      </c>
      <c r="BI51" s="658">
        <f t="shared" si="58"/>
        <v>3218355934.8250585</v>
      </c>
      <c r="BJ51" s="658">
        <f t="shared" si="58"/>
        <v>3210020584.3042979</v>
      </c>
      <c r="BK51" s="658">
        <f t="shared" si="58"/>
        <v>2634321263.1969767</v>
      </c>
      <c r="BL51" s="658">
        <f t="shared" si="58"/>
        <v>2643729703.7199879</v>
      </c>
      <c r="BM51" s="658">
        <f t="shared" si="58"/>
        <v>2540999583.3432732</v>
      </c>
      <c r="BN51" s="658">
        <f t="shared" si="58"/>
        <v>2581255435.6023235</v>
      </c>
      <c r="BO51" s="658">
        <f t="shared" si="58"/>
        <v>2832795407.6365857</v>
      </c>
      <c r="BP51" s="658">
        <f t="shared" si="58"/>
        <v>2858375743.1174827</v>
      </c>
      <c r="BQ51" s="658">
        <f t="shared" si="58"/>
        <v>3044001011.9146447</v>
      </c>
      <c r="BR51" s="658">
        <f t="shared" si="58"/>
        <v>3211323291.6920729</v>
      </c>
      <c r="BS51" s="658">
        <f t="shared" ref="BS51:CL51" si="59">$CO$5*BS46+BS47*$CP$5+BS48*$CQ$5+BS49*$CR$5</f>
        <v>2879729494.1890535</v>
      </c>
      <c r="BT51" s="658">
        <f t="shared" si="59"/>
        <v>2090239899.9455748</v>
      </c>
      <c r="BU51" s="658">
        <f t="shared" si="59"/>
        <v>2820666461.0852084</v>
      </c>
      <c r="BV51" s="658">
        <f t="shared" si="59"/>
        <v>2727677481.1017714</v>
      </c>
      <c r="BW51" s="658">
        <f t="shared" si="59"/>
        <v>2963422849.5365362</v>
      </c>
      <c r="BX51" s="658">
        <f t="shared" si="59"/>
        <v>2339920237.2752762</v>
      </c>
      <c r="BY51" s="658">
        <f t="shared" si="59"/>
        <v>2364527206.00071</v>
      </c>
      <c r="BZ51" s="658">
        <f t="shared" si="59"/>
        <v>2288372653.5340338</v>
      </c>
      <c r="CA51" s="658">
        <f t="shared" si="59"/>
        <v>2036713290.0276623</v>
      </c>
      <c r="CB51" s="658">
        <f t="shared" si="59"/>
        <v>2403530515.2202134</v>
      </c>
      <c r="CC51" s="658">
        <f t="shared" si="59"/>
        <v>2673093336.5252085</v>
      </c>
      <c r="CD51" s="658">
        <f t="shared" si="59"/>
        <v>3097120900.0059996</v>
      </c>
      <c r="CE51" s="658">
        <f t="shared" si="59"/>
        <v>3409882121.8589988</v>
      </c>
      <c r="CF51" s="658">
        <f t="shared" si="59"/>
        <v>3603283031.9485068</v>
      </c>
      <c r="CG51" s="658">
        <f t="shared" si="59"/>
        <v>3398178088.1751385</v>
      </c>
      <c r="CH51" s="658">
        <f t="shared" si="59"/>
        <v>3387163892.5529137</v>
      </c>
      <c r="CI51" s="658">
        <f t="shared" si="59"/>
        <v>3660075582.6506376</v>
      </c>
      <c r="CJ51" s="658">
        <f t="shared" si="59"/>
        <v>4020706564.4770246</v>
      </c>
      <c r="CK51" s="658">
        <f t="shared" si="59"/>
        <v>3982795340.7170029</v>
      </c>
      <c r="CL51" s="665">
        <f t="shared" si="59"/>
        <v>4053475486.6312051</v>
      </c>
      <c r="CM51" s="642">
        <f t="shared" si="0"/>
        <v>3159683889.2552772</v>
      </c>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row>
    <row r="52" spans="1:178" s="314" customFormat="1">
      <c r="A52" s="764" t="s">
        <v>334</v>
      </c>
      <c r="B52" s="765" t="s">
        <v>309</v>
      </c>
      <c r="C52" s="764"/>
      <c r="D52" s="764"/>
      <c r="E52" s="759"/>
      <c r="F52" s="665" t="s">
        <v>335</v>
      </c>
      <c r="G52" s="767">
        <f t="shared" ref="G52:BR52" si="60">G50/(G2*G12+G13*G3+G4*G14+G15*G5)</f>
        <v>0.63043780265051097</v>
      </c>
      <c r="H52" s="767">
        <f t="shared" si="60"/>
        <v>0.6376319889922395</v>
      </c>
      <c r="I52" s="767">
        <f t="shared" si="60"/>
        <v>0.64728935182981451</v>
      </c>
      <c r="J52" s="767">
        <f t="shared" si="60"/>
        <v>0.65835427001882252</v>
      </c>
      <c r="K52" s="767">
        <f t="shared" si="60"/>
        <v>0.64735916538717164</v>
      </c>
      <c r="L52" s="767">
        <f t="shared" si="60"/>
        <v>0.64803894539628337</v>
      </c>
      <c r="M52" s="767">
        <f t="shared" si="60"/>
        <v>0.64558511260258811</v>
      </c>
      <c r="N52" s="767">
        <f t="shared" si="60"/>
        <v>0.64311305594461821</v>
      </c>
      <c r="O52" s="767">
        <f t="shared" si="60"/>
        <v>0.64226864841623776</v>
      </c>
      <c r="P52" s="767">
        <f t="shared" si="60"/>
        <v>0.6489604818745115</v>
      </c>
      <c r="Q52" s="767">
        <f t="shared" si="60"/>
        <v>0.65528258477459689</v>
      </c>
      <c r="R52" s="767">
        <f t="shared" si="60"/>
        <v>0.65291814430891248</v>
      </c>
      <c r="S52" s="767">
        <f t="shared" si="60"/>
        <v>0.65073323195317523</v>
      </c>
      <c r="T52" s="767">
        <f t="shared" si="60"/>
        <v>0.65047202251768477</v>
      </c>
      <c r="U52" s="767">
        <f t="shared" si="60"/>
        <v>0.6491315368714432</v>
      </c>
      <c r="V52" s="767">
        <f t="shared" si="60"/>
        <v>0.65955343278157608</v>
      </c>
      <c r="W52" s="767">
        <f t="shared" si="60"/>
        <v>0.66299313538239879</v>
      </c>
      <c r="X52" s="767">
        <f t="shared" si="60"/>
        <v>0.65606029529524379</v>
      </c>
      <c r="Y52" s="767">
        <f t="shared" si="60"/>
        <v>0.64665105703831705</v>
      </c>
      <c r="Z52" s="767">
        <f t="shared" si="60"/>
        <v>0.64426578745773555</v>
      </c>
      <c r="AA52" s="767">
        <f t="shared" si="60"/>
        <v>0.64290460764099067</v>
      </c>
      <c r="AB52" s="767">
        <f t="shared" si="60"/>
        <v>0.64711894357537225</v>
      </c>
      <c r="AC52" s="767">
        <f t="shared" si="60"/>
        <v>0.64909043733577421</v>
      </c>
      <c r="AD52" s="767">
        <f t="shared" si="60"/>
        <v>0.64591564510265742</v>
      </c>
      <c r="AE52" s="767">
        <f t="shared" si="60"/>
        <v>0.63725376255736055</v>
      </c>
      <c r="AF52" s="767">
        <f t="shared" si="60"/>
        <v>0.63803399516937176</v>
      </c>
      <c r="AG52" s="767">
        <f t="shared" si="60"/>
        <v>0.63410679811469384</v>
      </c>
      <c r="AH52" s="767">
        <f t="shared" si="60"/>
        <v>0.63166484447708915</v>
      </c>
      <c r="AI52" s="767">
        <f t="shared" si="60"/>
        <v>0.63190051882599829</v>
      </c>
      <c r="AJ52" s="767">
        <f t="shared" si="60"/>
        <v>0.63568906544208492</v>
      </c>
      <c r="AK52" s="767">
        <f t="shared" si="60"/>
        <v>0.63501802738119018</v>
      </c>
      <c r="AL52" s="767">
        <f t="shared" si="60"/>
        <v>0.63789167630288046</v>
      </c>
      <c r="AM52" s="767">
        <f t="shared" si="60"/>
        <v>0.64107235544480246</v>
      </c>
      <c r="AN52" s="767">
        <f t="shared" si="60"/>
        <v>0.63975897541630322</v>
      </c>
      <c r="AO52" s="767">
        <f t="shared" si="60"/>
        <v>0.63644459281026111</v>
      </c>
      <c r="AP52" s="767">
        <f t="shared" si="60"/>
        <v>0.63328914221926857</v>
      </c>
      <c r="AQ52" s="767">
        <f t="shared" si="60"/>
        <v>0.63433879516750569</v>
      </c>
      <c r="AR52" s="767">
        <f t="shared" si="60"/>
        <v>0.63058601990404861</v>
      </c>
      <c r="AS52" s="767">
        <f t="shared" si="60"/>
        <v>0.63068751012107116</v>
      </c>
      <c r="AT52" s="767">
        <f t="shared" si="60"/>
        <v>0.6601982942622302</v>
      </c>
      <c r="AU52" s="768">
        <f t="shared" si="60"/>
        <v>0.66406034938526171</v>
      </c>
      <c r="AV52" s="768">
        <f t="shared" si="60"/>
        <v>0.67100392828320343</v>
      </c>
      <c r="AW52" s="768">
        <f t="shared" si="60"/>
        <v>0.66764859296007706</v>
      </c>
      <c r="AX52" s="768">
        <f t="shared" si="60"/>
        <v>0.64948903271352698</v>
      </c>
      <c r="AY52" s="768">
        <f t="shared" si="60"/>
        <v>0.66551401230246898</v>
      </c>
      <c r="AZ52" s="768">
        <f t="shared" si="60"/>
        <v>0.66975940779057053</v>
      </c>
      <c r="BA52" s="768">
        <f t="shared" si="60"/>
        <v>0.66986404596142413</v>
      </c>
      <c r="BB52" s="768">
        <f t="shared" si="60"/>
        <v>0.66658926731052981</v>
      </c>
      <c r="BC52" s="768">
        <f t="shared" si="60"/>
        <v>0.64320400495802588</v>
      </c>
      <c r="BD52" s="768">
        <f t="shared" si="60"/>
        <v>0.65097359504704444</v>
      </c>
      <c r="BE52" s="768">
        <f t="shared" si="60"/>
        <v>0.65822267517672617</v>
      </c>
      <c r="BF52" s="768">
        <f t="shared" si="60"/>
        <v>0.65871465321316647</v>
      </c>
      <c r="BG52" s="768">
        <f t="shared" si="60"/>
        <v>0.65251471121750626</v>
      </c>
      <c r="BH52" s="768">
        <f t="shared" si="60"/>
        <v>0.6505425849488391</v>
      </c>
      <c r="BI52" s="768">
        <f t="shared" si="60"/>
        <v>0.64951593011423725</v>
      </c>
      <c r="BJ52" s="768">
        <f t="shared" si="60"/>
        <v>0.64987514992559436</v>
      </c>
      <c r="BK52" s="768">
        <f t="shared" si="60"/>
        <v>0.6595174439824516</v>
      </c>
      <c r="BL52" s="768">
        <f t="shared" si="60"/>
        <v>0.65772630857531855</v>
      </c>
      <c r="BM52" s="768">
        <f t="shared" si="60"/>
        <v>0.66207265205821386</v>
      </c>
      <c r="BN52" s="768">
        <f t="shared" si="60"/>
        <v>0.65799425056206817</v>
      </c>
      <c r="BO52" s="768">
        <f t="shared" si="60"/>
        <v>0.65120583915582098</v>
      </c>
      <c r="BP52" s="768">
        <f t="shared" si="60"/>
        <v>0.65108615198771391</v>
      </c>
      <c r="BQ52" s="768">
        <f t="shared" si="60"/>
        <v>0.64837338240537778</v>
      </c>
      <c r="BR52" s="768">
        <f t="shared" si="60"/>
        <v>0.65025595342437725</v>
      </c>
      <c r="BS52" s="768">
        <f t="shared" ref="BS52:CL52" si="61">BS50/(BS2*BS12+BS13*BS3+BS4*BS14+BS15*BS5)</f>
        <v>0.65565083006103797</v>
      </c>
      <c r="BT52" s="768">
        <f t="shared" si="61"/>
        <v>0.67385143127340419</v>
      </c>
      <c r="BU52" s="768">
        <f t="shared" si="61"/>
        <v>0.64057535358646256</v>
      </c>
      <c r="BV52" s="768">
        <f t="shared" si="61"/>
        <v>0.64716235502287078</v>
      </c>
      <c r="BW52" s="768">
        <f t="shared" si="61"/>
        <v>0.64389627804509852</v>
      </c>
      <c r="BX52" s="768">
        <f t="shared" si="61"/>
        <v>0.65695636080346631</v>
      </c>
      <c r="BY52" s="768">
        <f t="shared" si="61"/>
        <v>0.65744597226736012</v>
      </c>
      <c r="BZ52" s="768">
        <f t="shared" si="61"/>
        <v>0.66102442259413441</v>
      </c>
      <c r="CA52" s="768">
        <f t="shared" si="61"/>
        <v>0.6620401365503702</v>
      </c>
      <c r="CB52" s="768">
        <f t="shared" si="61"/>
        <v>0.65251743546439889</v>
      </c>
      <c r="CC52" s="768">
        <f t="shared" si="61"/>
        <v>0.64950020596035085</v>
      </c>
      <c r="CD52" s="768">
        <f t="shared" si="61"/>
        <v>0.64312099524170241</v>
      </c>
      <c r="CE52" s="768">
        <f t="shared" si="61"/>
        <v>0.64068039606460325</v>
      </c>
      <c r="CF52" s="768">
        <f t="shared" si="61"/>
        <v>0.6386972439946984</v>
      </c>
      <c r="CG52" s="768">
        <f t="shared" si="61"/>
        <v>0.63944702601424341</v>
      </c>
      <c r="CH52" s="768">
        <f t="shared" si="61"/>
        <v>0.63772100363560558</v>
      </c>
      <c r="CI52" s="768">
        <f t="shared" si="61"/>
        <v>0.63487381043748214</v>
      </c>
      <c r="CJ52" s="768">
        <f t="shared" si="61"/>
        <v>0.63355079112137203</v>
      </c>
      <c r="CK52" s="768">
        <f t="shared" si="61"/>
        <v>0.63394176030552385</v>
      </c>
      <c r="CL52" s="769">
        <f t="shared" si="61"/>
        <v>0.63320643932299503</v>
      </c>
      <c r="CM52" s="770">
        <f t="shared" si="0"/>
        <v>0.64835295511894719</v>
      </c>
      <c r="CN52" s="759"/>
      <c r="CO52" s="759"/>
      <c r="CP52" s="759"/>
      <c r="CQ52" s="759"/>
      <c r="CR52" s="759"/>
      <c r="CS52" s="759"/>
      <c r="CT52" s="759"/>
      <c r="CU52" s="759"/>
      <c r="CV52" s="759"/>
      <c r="CW52" s="759"/>
      <c r="CX52" s="759"/>
      <c r="CY52" s="759"/>
      <c r="CZ52" s="759"/>
      <c r="DA52" s="759"/>
      <c r="DB52" s="759"/>
      <c r="DC52" s="759"/>
      <c r="DD52" s="759"/>
      <c r="DE52" s="759"/>
      <c r="DF52" s="759"/>
      <c r="DG52" s="759"/>
      <c r="DH52" s="759"/>
      <c r="DI52" s="759"/>
      <c r="DJ52" s="759"/>
      <c r="DK52" s="759"/>
      <c r="DL52" s="759"/>
      <c r="DM52" s="759"/>
      <c r="DN52" s="759"/>
      <c r="DO52" s="759"/>
      <c r="DP52" s="759"/>
      <c r="DQ52" s="759"/>
      <c r="DR52" s="759"/>
      <c r="DS52" s="759"/>
      <c r="DT52" s="759"/>
      <c r="DU52" s="759"/>
      <c r="DV52" s="759"/>
      <c r="DW52" s="759"/>
      <c r="DX52" s="759"/>
      <c r="DY52" s="759"/>
      <c r="DZ52" s="759"/>
      <c r="EA52" s="759"/>
      <c r="EB52" s="759"/>
      <c r="EC52" s="759"/>
      <c r="ED52" s="759"/>
      <c r="EE52" s="759"/>
      <c r="EF52" s="759"/>
      <c r="EG52" s="759"/>
      <c r="EH52" s="759"/>
      <c r="EI52" s="759"/>
      <c r="EJ52" s="759"/>
      <c r="EK52" s="759"/>
      <c r="EL52" s="759"/>
      <c r="EM52" s="759"/>
      <c r="EN52" s="759"/>
      <c r="EO52" s="759"/>
      <c r="EP52" s="759"/>
      <c r="EQ52" s="759"/>
      <c r="ER52" s="759"/>
      <c r="ES52" s="759"/>
      <c r="ET52" s="759"/>
      <c r="EU52" s="759"/>
      <c r="EV52" s="759"/>
      <c r="EW52" s="759"/>
      <c r="EX52" s="759"/>
      <c r="EY52" s="759"/>
      <c r="EZ52" s="759"/>
      <c r="FA52" s="759"/>
      <c r="FB52" s="759"/>
      <c r="FC52" s="759"/>
      <c r="FD52" s="759"/>
      <c r="FE52" s="759"/>
      <c r="FF52" s="759"/>
      <c r="FG52" s="759"/>
      <c r="FH52" s="759"/>
      <c r="FI52" s="759"/>
      <c r="FJ52" s="759"/>
      <c r="FK52" s="759"/>
      <c r="FL52" s="759"/>
      <c r="FM52" s="759"/>
      <c r="FN52" s="759"/>
      <c r="FO52" s="759"/>
      <c r="FP52" s="759"/>
      <c r="FQ52" s="759"/>
      <c r="FR52" s="759"/>
      <c r="FS52" s="759"/>
      <c r="FT52" s="759"/>
      <c r="FU52" s="759"/>
      <c r="FV52" s="759"/>
    </row>
    <row r="53" spans="1:178">
      <c r="A53" s="764" t="s">
        <v>334</v>
      </c>
      <c r="B53" s="765" t="s">
        <v>309</v>
      </c>
      <c r="C53" s="640"/>
      <c r="D53" s="640"/>
      <c r="E53" s="245"/>
      <c r="F53" s="665" t="s">
        <v>336</v>
      </c>
      <c r="G53" s="767">
        <f t="shared" ref="G53:BR53" si="62">G51/(G2*G12+G13*G3+G4*G14+G15*G5)</f>
        <v>0.36956219734948897</v>
      </c>
      <c r="H53" s="767">
        <f t="shared" si="62"/>
        <v>0.36236801100776056</v>
      </c>
      <c r="I53" s="767">
        <f t="shared" si="62"/>
        <v>0.35271064817018538</v>
      </c>
      <c r="J53" s="767">
        <f t="shared" si="62"/>
        <v>0.34164572998117737</v>
      </c>
      <c r="K53" s="767">
        <f t="shared" si="62"/>
        <v>0.35264083461282841</v>
      </c>
      <c r="L53" s="767">
        <f t="shared" si="62"/>
        <v>0.35196105460371679</v>
      </c>
      <c r="M53" s="767">
        <f t="shared" si="62"/>
        <v>0.35441488739741189</v>
      </c>
      <c r="N53" s="767">
        <f t="shared" si="62"/>
        <v>0.35688694405538191</v>
      </c>
      <c r="O53" s="767">
        <f t="shared" si="62"/>
        <v>0.35773135158376218</v>
      </c>
      <c r="P53" s="767">
        <f t="shared" si="62"/>
        <v>0.35103951812548845</v>
      </c>
      <c r="Q53" s="767">
        <f t="shared" si="62"/>
        <v>0.34471741522540322</v>
      </c>
      <c r="R53" s="767">
        <f t="shared" si="62"/>
        <v>0.34708185569108746</v>
      </c>
      <c r="S53" s="767">
        <f t="shared" si="62"/>
        <v>0.34926676804682466</v>
      </c>
      <c r="T53" s="767">
        <f t="shared" si="62"/>
        <v>0.34952797748231512</v>
      </c>
      <c r="U53" s="767">
        <f t="shared" si="62"/>
        <v>0.35086846312855663</v>
      </c>
      <c r="V53" s="767">
        <f t="shared" si="62"/>
        <v>0.34044656721842387</v>
      </c>
      <c r="W53" s="767">
        <f t="shared" si="62"/>
        <v>0.33700686461760115</v>
      </c>
      <c r="X53" s="767">
        <f t="shared" si="62"/>
        <v>0.34393970470475616</v>
      </c>
      <c r="Y53" s="767">
        <f t="shared" si="62"/>
        <v>0.35334894296168301</v>
      </c>
      <c r="Z53" s="767">
        <f t="shared" si="62"/>
        <v>0.35573421254226439</v>
      </c>
      <c r="AA53" s="767">
        <f t="shared" si="62"/>
        <v>0.35709539235900939</v>
      </c>
      <c r="AB53" s="767">
        <f t="shared" si="62"/>
        <v>0.3528810564246278</v>
      </c>
      <c r="AC53" s="767">
        <f t="shared" si="62"/>
        <v>0.35090956266422563</v>
      </c>
      <c r="AD53" s="767">
        <f t="shared" si="62"/>
        <v>0.35408435489734241</v>
      </c>
      <c r="AE53" s="767">
        <f t="shared" si="62"/>
        <v>0.36274623744263934</v>
      </c>
      <c r="AF53" s="767">
        <f t="shared" si="62"/>
        <v>0.36196600483062819</v>
      </c>
      <c r="AG53" s="767">
        <f t="shared" si="62"/>
        <v>0.36589320188530627</v>
      </c>
      <c r="AH53" s="767">
        <f t="shared" si="62"/>
        <v>0.36833515552291085</v>
      </c>
      <c r="AI53" s="767">
        <f t="shared" si="62"/>
        <v>0.36809948117400165</v>
      </c>
      <c r="AJ53" s="767">
        <f t="shared" si="62"/>
        <v>0.36431093455791497</v>
      </c>
      <c r="AK53" s="767">
        <f t="shared" si="62"/>
        <v>0.36498197261880977</v>
      </c>
      <c r="AL53" s="767">
        <f t="shared" si="62"/>
        <v>0.36210832369711965</v>
      </c>
      <c r="AM53" s="767">
        <f t="shared" si="62"/>
        <v>0.35892764455519754</v>
      </c>
      <c r="AN53" s="767">
        <f t="shared" si="62"/>
        <v>0.36024102458369678</v>
      </c>
      <c r="AO53" s="767">
        <f t="shared" si="62"/>
        <v>0.36355540718973878</v>
      </c>
      <c r="AP53" s="767">
        <f t="shared" si="62"/>
        <v>0.36671085778073154</v>
      </c>
      <c r="AQ53" s="767">
        <f t="shared" si="62"/>
        <v>0.36566120483249437</v>
      </c>
      <c r="AR53" s="767">
        <f t="shared" si="62"/>
        <v>0.36941398009595139</v>
      </c>
      <c r="AS53" s="767">
        <f t="shared" si="62"/>
        <v>0.36931248987892901</v>
      </c>
      <c r="AT53" s="767">
        <f t="shared" si="62"/>
        <v>0.33980170573776991</v>
      </c>
      <c r="AU53" s="768">
        <f t="shared" si="62"/>
        <v>0.33593965061473824</v>
      </c>
      <c r="AV53" s="768">
        <f t="shared" si="62"/>
        <v>0.32899607171679646</v>
      </c>
      <c r="AW53" s="768">
        <f t="shared" si="62"/>
        <v>0.33235140703992283</v>
      </c>
      <c r="AX53" s="768">
        <f t="shared" si="62"/>
        <v>0.35051096728647302</v>
      </c>
      <c r="AY53" s="768">
        <f t="shared" si="62"/>
        <v>0.33448598769753102</v>
      </c>
      <c r="AZ53" s="768">
        <f t="shared" si="62"/>
        <v>0.33024059220942947</v>
      </c>
      <c r="BA53" s="768">
        <f t="shared" si="62"/>
        <v>0.33013595403857598</v>
      </c>
      <c r="BB53" s="768">
        <f t="shared" si="62"/>
        <v>0.33341073268947025</v>
      </c>
      <c r="BC53" s="768">
        <f t="shared" si="62"/>
        <v>0.35679599504197407</v>
      </c>
      <c r="BD53" s="768">
        <f t="shared" si="62"/>
        <v>0.34902640495295567</v>
      </c>
      <c r="BE53" s="768">
        <f t="shared" si="62"/>
        <v>0.34177732482327389</v>
      </c>
      <c r="BF53" s="768">
        <f t="shared" si="62"/>
        <v>0.34128534678683364</v>
      </c>
      <c r="BG53" s="768">
        <f t="shared" si="62"/>
        <v>0.3474852887824938</v>
      </c>
      <c r="BH53" s="768">
        <f t="shared" si="62"/>
        <v>0.34945741505116107</v>
      </c>
      <c r="BI53" s="768">
        <f t="shared" si="62"/>
        <v>0.35048406988576269</v>
      </c>
      <c r="BJ53" s="768">
        <f t="shared" si="62"/>
        <v>0.35012485007440558</v>
      </c>
      <c r="BK53" s="768">
        <f t="shared" si="62"/>
        <v>0.34048255601754845</v>
      </c>
      <c r="BL53" s="768">
        <f t="shared" si="62"/>
        <v>0.34227369142468145</v>
      </c>
      <c r="BM53" s="768">
        <f t="shared" si="62"/>
        <v>0.33792734794178614</v>
      </c>
      <c r="BN53" s="768">
        <f t="shared" si="62"/>
        <v>0.34200574943793188</v>
      </c>
      <c r="BO53" s="768">
        <f t="shared" si="62"/>
        <v>0.34879416084417902</v>
      </c>
      <c r="BP53" s="768">
        <f t="shared" si="62"/>
        <v>0.34891384801228609</v>
      </c>
      <c r="BQ53" s="768">
        <f t="shared" si="62"/>
        <v>0.3516266175946221</v>
      </c>
      <c r="BR53" s="768">
        <f t="shared" si="62"/>
        <v>0.34974404657562286</v>
      </c>
      <c r="BS53" s="768">
        <f t="shared" ref="BS53:CL53" si="63">BS51/(BS2*BS12+BS13*BS3+BS4*BS14+BS15*BS5)</f>
        <v>0.34434916993896209</v>
      </c>
      <c r="BT53" s="768">
        <f t="shared" si="63"/>
        <v>0.32614856872659576</v>
      </c>
      <c r="BU53" s="768">
        <f t="shared" si="63"/>
        <v>0.35942464641353755</v>
      </c>
      <c r="BV53" s="768">
        <f t="shared" si="63"/>
        <v>0.35283764497712938</v>
      </c>
      <c r="BW53" s="768">
        <f t="shared" si="63"/>
        <v>0.35610372195490148</v>
      </c>
      <c r="BX53" s="768">
        <f t="shared" si="63"/>
        <v>0.34304363919653363</v>
      </c>
      <c r="BY53" s="768">
        <f t="shared" si="63"/>
        <v>0.34255402773263993</v>
      </c>
      <c r="BZ53" s="768">
        <f t="shared" si="63"/>
        <v>0.33897557740586576</v>
      </c>
      <c r="CA53" s="768">
        <f t="shared" si="63"/>
        <v>0.3379598634496298</v>
      </c>
      <c r="CB53" s="768">
        <f t="shared" si="63"/>
        <v>0.34748256453560095</v>
      </c>
      <c r="CC53" s="768">
        <f t="shared" si="63"/>
        <v>0.35049979403964909</v>
      </c>
      <c r="CD53" s="768">
        <f t="shared" si="63"/>
        <v>0.3568790047582977</v>
      </c>
      <c r="CE53" s="768">
        <f t="shared" si="63"/>
        <v>0.35931960393539675</v>
      </c>
      <c r="CF53" s="768">
        <f t="shared" si="63"/>
        <v>0.36130275600530171</v>
      </c>
      <c r="CG53" s="768">
        <f t="shared" si="63"/>
        <v>0.36055297398575664</v>
      </c>
      <c r="CH53" s="768">
        <f t="shared" si="63"/>
        <v>0.36227899636439442</v>
      </c>
      <c r="CI53" s="768">
        <f t="shared" si="63"/>
        <v>0.36512618956251774</v>
      </c>
      <c r="CJ53" s="768">
        <f t="shared" si="63"/>
        <v>0.36644920887862803</v>
      </c>
      <c r="CK53" s="768">
        <f t="shared" si="63"/>
        <v>0.36605823969447593</v>
      </c>
      <c r="CL53" s="769">
        <f t="shared" si="63"/>
        <v>0.36679356067700497</v>
      </c>
      <c r="CM53" s="771">
        <f t="shared" si="0"/>
        <v>0.35164704488105275</v>
      </c>
      <c r="CN53" s="245"/>
      <c r="CO53" s="245"/>
      <c r="CP53" s="245"/>
      <c r="CQ53" s="245"/>
      <c r="CR53" s="245"/>
      <c r="CS53" s="245"/>
      <c r="CT53" s="245"/>
      <c r="CU53" s="245"/>
      <c r="CV53" s="245"/>
      <c r="CW53" s="245"/>
      <c r="CX53" s="245"/>
      <c r="CY53" s="245"/>
      <c r="CZ53" s="245"/>
      <c r="DA53" s="245"/>
      <c r="DB53" s="245"/>
      <c r="DC53" s="245"/>
      <c r="DD53" s="245"/>
      <c r="DE53" s="245"/>
      <c r="DF53" s="245"/>
      <c r="DG53" s="245"/>
      <c r="DH53" s="245"/>
      <c r="DI53" s="245"/>
      <c r="DJ53" s="245"/>
      <c r="DK53" s="245"/>
      <c r="DL53" s="245"/>
      <c r="DM53" s="245"/>
      <c r="DN53" s="245"/>
      <c r="DO53" s="245"/>
      <c r="DP53" s="245"/>
      <c r="DQ53" s="245"/>
      <c r="DR53" s="245"/>
      <c r="DS53" s="245"/>
      <c r="DT53" s="245"/>
      <c r="DU53" s="245"/>
      <c r="DV53" s="245"/>
      <c r="DW53" s="245"/>
      <c r="DX53" s="245"/>
      <c r="DY53" s="245"/>
      <c r="DZ53" s="245"/>
      <c r="EA53" s="245"/>
      <c r="EB53" s="245"/>
      <c r="EC53" s="245"/>
      <c r="ED53" s="245"/>
      <c r="EE53" s="245"/>
      <c r="EF53" s="245"/>
      <c r="EG53" s="245"/>
      <c r="EH53" s="245"/>
      <c r="EI53" s="245"/>
      <c r="EJ53" s="245"/>
      <c r="EK53" s="245"/>
      <c r="EL53" s="245"/>
      <c r="EM53" s="245"/>
      <c r="EN53" s="245"/>
      <c r="EO53" s="245"/>
      <c r="EP53" s="245"/>
      <c r="EQ53" s="245"/>
      <c r="ER53" s="245"/>
      <c r="ES53" s="245"/>
      <c r="ET53" s="245"/>
      <c r="EU53" s="245"/>
      <c r="EV53" s="245"/>
      <c r="EW53" s="245"/>
      <c r="EX53" s="245"/>
      <c r="EY53" s="245"/>
      <c r="EZ53" s="245"/>
      <c r="FA53" s="245"/>
      <c r="FB53" s="245"/>
      <c r="FC53" s="245"/>
      <c r="FD53" s="245"/>
      <c r="FE53" s="245"/>
      <c r="FF53" s="245"/>
      <c r="FG53" s="245"/>
      <c r="FH53" s="245"/>
      <c r="FI53" s="245"/>
      <c r="FJ53" s="245"/>
      <c r="FK53" s="245"/>
      <c r="FL53" s="245"/>
      <c r="FM53" s="245"/>
      <c r="FN53" s="245"/>
      <c r="FO53" s="245"/>
      <c r="FP53" s="245"/>
      <c r="FQ53" s="245"/>
      <c r="FR53" s="245"/>
      <c r="FS53" s="245"/>
      <c r="FT53" s="245"/>
      <c r="FU53" s="245"/>
      <c r="FV53" s="245"/>
    </row>
    <row r="54" spans="1:178">
      <c r="A54" s="764" t="s">
        <v>337</v>
      </c>
      <c r="B54" s="765" t="s">
        <v>309</v>
      </c>
      <c r="C54" s="640" t="s">
        <v>323</v>
      </c>
      <c r="D54" s="640"/>
      <c r="E54" s="245"/>
      <c r="F54" s="665" t="s">
        <v>338</v>
      </c>
      <c r="G54" s="766">
        <f t="shared" ref="G54:BR54" si="64">G7*G18+G8*G19+G9*G20+G10*G21+G11*G22</f>
        <v>2258010360.4628057</v>
      </c>
      <c r="H54" s="766">
        <f t="shared" si="64"/>
        <v>2220749402.4020081</v>
      </c>
      <c r="I54" s="766">
        <f t="shared" si="64"/>
        <v>2232383654.3412108</v>
      </c>
      <c r="J54" s="766">
        <f t="shared" si="64"/>
        <v>2246346249.6137452</v>
      </c>
      <c r="K54" s="766">
        <f t="shared" si="64"/>
        <v>2217280829.719615</v>
      </c>
      <c r="L54" s="766">
        <f t="shared" si="64"/>
        <v>2269661089.9921498</v>
      </c>
      <c r="M54" s="766">
        <f t="shared" si="64"/>
        <v>2231143287.2646866</v>
      </c>
      <c r="N54" s="766">
        <f t="shared" si="64"/>
        <v>2281096772.0372214</v>
      </c>
      <c r="O54" s="766">
        <f t="shared" si="64"/>
        <v>2185401307.3097563</v>
      </c>
      <c r="P54" s="766">
        <f t="shared" si="64"/>
        <v>2234891427.082293</v>
      </c>
      <c r="Q54" s="766">
        <f t="shared" si="64"/>
        <v>2180080980.1881609</v>
      </c>
      <c r="R54" s="766">
        <f t="shared" si="64"/>
        <v>2078107051.2940304</v>
      </c>
      <c r="S54" s="766">
        <f t="shared" si="64"/>
        <v>2102808985.5922716</v>
      </c>
      <c r="T54" s="766">
        <f t="shared" si="64"/>
        <v>2094395049.3050249</v>
      </c>
      <c r="U54" s="766">
        <f t="shared" si="64"/>
        <v>1983615871.9781337</v>
      </c>
      <c r="V54" s="766">
        <f t="shared" si="64"/>
        <v>2060988786.6136267</v>
      </c>
      <c r="W54" s="766">
        <f t="shared" si="64"/>
        <v>1900418067.2194202</v>
      </c>
      <c r="X54" s="766">
        <f t="shared" si="64"/>
        <v>1913198835.265507</v>
      </c>
      <c r="Y54" s="766">
        <f t="shared" si="64"/>
        <v>1995151780.1449268</v>
      </c>
      <c r="Z54" s="766">
        <f t="shared" si="64"/>
        <v>1981173865.1160665</v>
      </c>
      <c r="AA54" s="766">
        <f t="shared" si="64"/>
        <v>2005437432.6743467</v>
      </c>
      <c r="AB54" s="766">
        <f t="shared" si="64"/>
        <v>2048819166.553767</v>
      </c>
      <c r="AC54" s="766">
        <f t="shared" si="64"/>
        <v>2063460704.8331866</v>
      </c>
      <c r="AD54" s="766">
        <f t="shared" si="64"/>
        <v>2013238255.1069734</v>
      </c>
      <c r="AE54" s="766">
        <f t="shared" si="64"/>
        <v>2014949005.3193402</v>
      </c>
      <c r="AF54" s="766">
        <f t="shared" si="64"/>
        <v>2013481806.7586937</v>
      </c>
      <c r="AG54" s="766">
        <f t="shared" si="64"/>
        <v>2074972717.8047805</v>
      </c>
      <c r="AH54" s="766">
        <f t="shared" si="64"/>
        <v>2140939450.7752135</v>
      </c>
      <c r="AI54" s="766">
        <f t="shared" si="64"/>
        <v>2269438795.5244002</v>
      </c>
      <c r="AJ54" s="766">
        <f t="shared" si="64"/>
        <v>2222217983.1408868</v>
      </c>
      <c r="AK54" s="766">
        <f t="shared" si="64"/>
        <v>2337004703.8041515</v>
      </c>
      <c r="AL54" s="766">
        <f t="shared" si="64"/>
        <v>2284094794.0934534</v>
      </c>
      <c r="AM54" s="766">
        <f t="shared" si="64"/>
        <v>2247657412.0904379</v>
      </c>
      <c r="AN54" s="766">
        <f t="shared" si="64"/>
        <v>2276647062.5531917</v>
      </c>
      <c r="AO54" s="766">
        <f t="shared" si="64"/>
        <v>2202986984.9608784</v>
      </c>
      <c r="AP54" s="766">
        <f t="shared" si="64"/>
        <v>2200471270.6450272</v>
      </c>
      <c r="AQ54" s="766">
        <f t="shared" si="64"/>
        <v>2237474766.8286982</v>
      </c>
      <c r="AR54" s="766">
        <f t="shared" si="64"/>
        <v>2145527384.9747849</v>
      </c>
      <c r="AS54" s="766">
        <f t="shared" si="64"/>
        <v>2250712814.7542052</v>
      </c>
      <c r="AT54" s="766">
        <f t="shared" si="64"/>
        <v>2300676160.8116002</v>
      </c>
      <c r="AU54" s="658">
        <f t="shared" si="64"/>
        <v>2451886183.1273866</v>
      </c>
      <c r="AV54" s="658">
        <f t="shared" si="64"/>
        <v>2517950508.3373866</v>
      </c>
      <c r="AW54" s="658">
        <f t="shared" si="64"/>
        <v>2557768472.2274933</v>
      </c>
      <c r="AX54" s="658">
        <f t="shared" si="64"/>
        <v>2588494479.6376667</v>
      </c>
      <c r="AY54" s="658">
        <f t="shared" si="64"/>
        <v>2996261859.1366801</v>
      </c>
      <c r="AZ54" s="658">
        <f t="shared" si="64"/>
        <v>2971445482.622427</v>
      </c>
      <c r="BA54" s="658">
        <f t="shared" si="64"/>
        <v>2974318840.3188133</v>
      </c>
      <c r="BB54" s="658">
        <f t="shared" si="64"/>
        <v>3125550351.2361999</v>
      </c>
      <c r="BC54" s="658">
        <f t="shared" si="64"/>
        <v>3068394328.99368</v>
      </c>
      <c r="BD54" s="658">
        <f t="shared" si="64"/>
        <v>2791529831.2483063</v>
      </c>
      <c r="BE54" s="658">
        <f t="shared" si="64"/>
        <v>2359796154.8733335</v>
      </c>
      <c r="BF54" s="658">
        <f t="shared" si="64"/>
        <v>2195582840.8933067</v>
      </c>
      <c r="BG54" s="658">
        <f t="shared" si="64"/>
        <v>2190283191.4180803</v>
      </c>
      <c r="BH54" s="658">
        <f t="shared" si="64"/>
        <v>2252812382.6593471</v>
      </c>
      <c r="BI54" s="658">
        <f t="shared" si="64"/>
        <v>2232716288.2701335</v>
      </c>
      <c r="BJ54" s="658">
        <f t="shared" si="64"/>
        <v>2200682916.7238803</v>
      </c>
      <c r="BK54" s="658">
        <f t="shared" si="64"/>
        <v>2261483235.9346671</v>
      </c>
      <c r="BL54" s="658">
        <f t="shared" si="64"/>
        <v>2229202840.5999999</v>
      </c>
      <c r="BM54" s="658">
        <f t="shared" si="64"/>
        <v>2339376825.4666667</v>
      </c>
      <c r="BN54" s="658">
        <f t="shared" si="64"/>
        <v>2390779042.9306669</v>
      </c>
      <c r="BO54" s="658">
        <f t="shared" si="64"/>
        <v>2516340573.738667</v>
      </c>
      <c r="BP54" s="658">
        <f t="shared" si="64"/>
        <v>2386322329.5720005</v>
      </c>
      <c r="BQ54" s="658">
        <f t="shared" si="64"/>
        <v>2163231820.5079999</v>
      </c>
      <c r="BR54" s="658">
        <f t="shared" si="64"/>
        <v>2306015347.6546664</v>
      </c>
      <c r="BS54" s="658">
        <f t="shared" ref="BS54:CL54" si="65">BS7*BS18+BS8*BS19+BS9*BS20+BS10*BS21+BS11*BS22</f>
        <v>2323892936.9759998</v>
      </c>
      <c r="BT54" s="658">
        <f t="shared" si="65"/>
        <v>2097458339.9199998</v>
      </c>
      <c r="BU54" s="658">
        <f t="shared" si="65"/>
        <v>1624241709.7333336</v>
      </c>
      <c r="BV54" s="658">
        <f t="shared" si="65"/>
        <v>1034569051.7573335</v>
      </c>
      <c r="BW54" s="658">
        <f t="shared" si="65"/>
        <v>1136510014.3</v>
      </c>
      <c r="BX54" s="658">
        <f t="shared" si="65"/>
        <v>1397502858.1853333</v>
      </c>
      <c r="BY54" s="658">
        <f t="shared" si="65"/>
        <v>1509846351.2653337</v>
      </c>
      <c r="BZ54" s="658">
        <f t="shared" si="65"/>
        <v>1669469487.8973336</v>
      </c>
      <c r="CA54" s="658">
        <f t="shared" si="65"/>
        <v>1757537748.1066666</v>
      </c>
      <c r="CB54" s="658">
        <f t="shared" si="65"/>
        <v>1943228871.2479999</v>
      </c>
      <c r="CC54" s="658">
        <f t="shared" si="65"/>
        <v>2312667422.4813337</v>
      </c>
      <c r="CD54" s="658">
        <f t="shared" si="65"/>
        <v>2359788019.6853333</v>
      </c>
      <c r="CE54" s="658">
        <f t="shared" si="65"/>
        <v>2149517166.3333335</v>
      </c>
      <c r="CF54" s="658">
        <f t="shared" si="65"/>
        <v>2312813118.5573339</v>
      </c>
      <c r="CG54" s="658">
        <f t="shared" si="65"/>
        <v>2678021835.0786667</v>
      </c>
      <c r="CH54" s="658">
        <f t="shared" si="65"/>
        <v>2654193820.3413334</v>
      </c>
      <c r="CI54" s="658">
        <f t="shared" si="65"/>
        <v>2772984620.4773331</v>
      </c>
      <c r="CJ54" s="658">
        <f t="shared" si="65"/>
        <v>2960501277.9237337</v>
      </c>
      <c r="CK54" s="658">
        <f t="shared" si="65"/>
        <v>3328318475.7601337</v>
      </c>
      <c r="CL54" s="665">
        <f t="shared" si="65"/>
        <v>3307077775.8606672</v>
      </c>
      <c r="CM54" s="644">
        <f t="shared" si="0"/>
        <v>2254946182.8210549</v>
      </c>
      <c r="CN54" s="245"/>
      <c r="CO54" s="245"/>
      <c r="CP54" s="245"/>
      <c r="CQ54" s="245"/>
      <c r="CR54" s="245"/>
      <c r="CS54" s="245"/>
      <c r="CT54" s="245"/>
      <c r="CU54" s="245"/>
      <c r="CV54" s="245"/>
      <c r="CW54" s="245"/>
      <c r="CX54" s="245"/>
      <c r="CY54" s="245"/>
      <c r="CZ54" s="245"/>
      <c r="DA54" s="245"/>
      <c r="DB54" s="245"/>
      <c r="DC54" s="245"/>
      <c r="DD54" s="245"/>
      <c r="DE54" s="245"/>
      <c r="DF54" s="245"/>
      <c r="DG54" s="245"/>
      <c r="DH54" s="245"/>
      <c r="DI54" s="245"/>
      <c r="DJ54" s="245"/>
      <c r="DK54" s="245"/>
      <c r="DL54" s="245"/>
      <c r="DM54" s="245"/>
      <c r="DN54" s="245"/>
      <c r="DO54" s="245"/>
      <c r="DP54" s="245"/>
      <c r="DQ54" s="245"/>
      <c r="DR54" s="245"/>
      <c r="DS54" s="245"/>
      <c r="DT54" s="245"/>
      <c r="DU54" s="245"/>
      <c r="DV54" s="245"/>
      <c r="DW54" s="245"/>
      <c r="DX54" s="245"/>
      <c r="DY54" s="245"/>
      <c r="DZ54" s="245"/>
      <c r="EA54" s="245"/>
      <c r="EB54" s="245"/>
      <c r="EC54" s="245"/>
      <c r="ED54" s="245"/>
      <c r="EE54" s="245"/>
      <c r="EF54" s="245"/>
      <c r="EG54" s="245"/>
      <c r="EH54" s="245"/>
      <c r="EI54" s="245"/>
      <c r="EJ54" s="245"/>
      <c r="EK54" s="245"/>
      <c r="EL54" s="245"/>
      <c r="EM54" s="245"/>
      <c r="EN54" s="245"/>
      <c r="EO54" s="245"/>
      <c r="EP54" s="245"/>
      <c r="EQ54" s="245"/>
      <c r="ER54" s="245"/>
      <c r="ES54" s="245"/>
      <c r="ET54" s="245"/>
      <c r="EU54" s="245"/>
      <c r="EV54" s="245"/>
      <c r="EW54" s="245"/>
      <c r="EX54" s="245"/>
      <c r="EY54" s="245"/>
      <c r="EZ54" s="245"/>
      <c r="FA54" s="245"/>
      <c r="FB54" s="245"/>
      <c r="FC54" s="245"/>
      <c r="FD54" s="245"/>
      <c r="FE54" s="245"/>
      <c r="FF54" s="245"/>
      <c r="FG54" s="245"/>
      <c r="FH54" s="245"/>
      <c r="FI54" s="245"/>
      <c r="FJ54" s="245"/>
      <c r="FK54" s="245"/>
      <c r="FL54" s="245"/>
      <c r="FM54" s="245"/>
      <c r="FN54" s="245"/>
      <c r="FO54" s="245"/>
      <c r="FP54" s="245"/>
      <c r="FQ54" s="245"/>
      <c r="FR54" s="245"/>
      <c r="FS54" s="245"/>
      <c r="FT54" s="245"/>
      <c r="FU54" s="245"/>
      <c r="FV54" s="245"/>
    </row>
    <row r="55" spans="1:178">
      <c r="A55" s="754" t="s">
        <v>339</v>
      </c>
      <c r="B55" s="755" t="s">
        <v>309</v>
      </c>
      <c r="C55" s="648" t="s">
        <v>323</v>
      </c>
      <c r="D55" s="648"/>
      <c r="E55" s="649"/>
      <c r="F55" s="673" t="s">
        <v>181</v>
      </c>
      <c r="G55" s="772">
        <f t="shared" ref="G55:BR55" si="66">G23*G2+G3*G24+G25*G4+G5*G26+G27*CP41</f>
        <v>2494994815.780035</v>
      </c>
      <c r="H55" s="772">
        <f t="shared" si="66"/>
        <v>2203012398.9556751</v>
      </c>
      <c r="I55" s="772">
        <f t="shared" si="66"/>
        <v>1854833134.5547853</v>
      </c>
      <c r="J55" s="772">
        <f t="shared" si="66"/>
        <v>1470299099.0637634</v>
      </c>
      <c r="K55" s="772">
        <f t="shared" si="66"/>
        <v>1736112493.55265</v>
      </c>
      <c r="L55" s="772">
        <f t="shared" si="66"/>
        <v>1774355526.6163039</v>
      </c>
      <c r="M55" s="772">
        <f t="shared" si="66"/>
        <v>1806216832.9191935</v>
      </c>
      <c r="N55" s="772">
        <f t="shared" si="66"/>
        <v>1904099972.9628456</v>
      </c>
      <c r="O55" s="772">
        <f t="shared" si="66"/>
        <v>1801540031.8577571</v>
      </c>
      <c r="P55" s="772">
        <f t="shared" si="66"/>
        <v>1612193314.5042326</v>
      </c>
      <c r="Q55" s="772">
        <f t="shared" si="66"/>
        <v>1468842498.6055906</v>
      </c>
      <c r="R55" s="772">
        <f t="shared" si="66"/>
        <v>1482708200.3518</v>
      </c>
      <c r="S55" s="772">
        <f t="shared" si="66"/>
        <v>1557401466.6363814</v>
      </c>
      <c r="T55" s="772">
        <f t="shared" si="66"/>
        <v>1620619147.2573838</v>
      </c>
      <c r="U55" s="772">
        <f t="shared" si="66"/>
        <v>1600112564.8230057</v>
      </c>
      <c r="V55" s="772">
        <f t="shared" si="66"/>
        <v>1293949745.2005193</v>
      </c>
      <c r="W55" s="772">
        <f t="shared" si="66"/>
        <v>1187808156.1635809</v>
      </c>
      <c r="X55" s="772">
        <f t="shared" si="66"/>
        <v>1286040898.5616705</v>
      </c>
      <c r="Y55" s="772">
        <f t="shared" si="66"/>
        <v>1383911035.5043423</v>
      </c>
      <c r="Z55" s="772">
        <f t="shared" si="66"/>
        <v>1448392858.0939431</v>
      </c>
      <c r="AA55" s="772">
        <f t="shared" si="66"/>
        <v>1488053747.5236375</v>
      </c>
      <c r="AB55" s="772">
        <f t="shared" si="66"/>
        <v>1351211101.9050326</v>
      </c>
      <c r="AC55" s="772">
        <f t="shared" si="66"/>
        <v>1300710851.0612538</v>
      </c>
      <c r="AD55" s="772">
        <f t="shared" si="66"/>
        <v>1374545759.4303479</v>
      </c>
      <c r="AE55" s="772">
        <f t="shared" si="66"/>
        <v>1535071325.0272164</v>
      </c>
      <c r="AF55" s="772">
        <f t="shared" si="66"/>
        <v>1594923218.8906116</v>
      </c>
      <c r="AG55" s="772">
        <f t="shared" si="66"/>
        <v>1691633354.5768065</v>
      </c>
      <c r="AH55" s="772">
        <f t="shared" si="66"/>
        <v>1850593940.19152</v>
      </c>
      <c r="AI55" s="772">
        <f t="shared" si="66"/>
        <v>1927072347.4308662</v>
      </c>
      <c r="AJ55" s="772">
        <f t="shared" si="66"/>
        <v>1744918426.1840532</v>
      </c>
      <c r="AK55" s="772">
        <f t="shared" si="66"/>
        <v>1674759756.0778944</v>
      </c>
      <c r="AL55" s="772">
        <f t="shared" si="66"/>
        <v>1536840371.5755994</v>
      </c>
      <c r="AM55" s="772">
        <f t="shared" si="66"/>
        <v>1458592260.6167176</v>
      </c>
      <c r="AN55" s="772">
        <f t="shared" si="66"/>
        <v>1442502698.9458785</v>
      </c>
      <c r="AO55" s="772">
        <f t="shared" si="66"/>
        <v>1614796097.7410376</v>
      </c>
      <c r="AP55" s="772">
        <f t="shared" si="66"/>
        <v>1790830876.1356518</v>
      </c>
      <c r="AQ55" s="772">
        <f t="shared" si="66"/>
        <v>1963694559.9803629</v>
      </c>
      <c r="AR55" s="772">
        <f t="shared" si="66"/>
        <v>2100483211.6343563</v>
      </c>
      <c r="AS55" s="772">
        <f t="shared" si="66"/>
        <v>2098329839.3753283</v>
      </c>
      <c r="AT55" s="772">
        <f t="shared" si="66"/>
        <v>1644312714.2556798</v>
      </c>
      <c r="AU55" s="671">
        <f t="shared" si="66"/>
        <v>1519884573.3524368</v>
      </c>
      <c r="AV55" s="671">
        <f t="shared" si="66"/>
        <v>1541873304.3007467</v>
      </c>
      <c r="AW55" s="671">
        <f t="shared" si="66"/>
        <v>1575538034.9230461</v>
      </c>
      <c r="AX55" s="671">
        <f t="shared" si="66"/>
        <v>1714072371.781924</v>
      </c>
      <c r="AY55" s="671">
        <f t="shared" si="66"/>
        <v>1798681387.6840489</v>
      </c>
      <c r="AZ55" s="671">
        <f t="shared" si="66"/>
        <v>1863610111.8073301</v>
      </c>
      <c r="BA55" s="671">
        <f t="shared" si="66"/>
        <v>1934812074.9336491</v>
      </c>
      <c r="BB55" s="671">
        <f t="shared" si="66"/>
        <v>2062364388.6632142</v>
      </c>
      <c r="BC55" s="671">
        <f t="shared" si="66"/>
        <v>2118448720.4556508</v>
      </c>
      <c r="BD55" s="671">
        <f t="shared" si="66"/>
        <v>1628252312.9920225</v>
      </c>
      <c r="BE55" s="671">
        <f t="shared" si="66"/>
        <v>1373863604.4920371</v>
      </c>
      <c r="BF55" s="671">
        <f t="shared" si="66"/>
        <v>1375721465.0059133</v>
      </c>
      <c r="BG55" s="671">
        <f t="shared" si="66"/>
        <v>1483731730.908031</v>
      </c>
      <c r="BH55" s="671">
        <f t="shared" si="66"/>
        <v>1570200227.949374</v>
      </c>
      <c r="BI55" s="671">
        <f t="shared" si="66"/>
        <v>1679081115.244786</v>
      </c>
      <c r="BJ55" s="671">
        <f t="shared" si="66"/>
        <v>1680008167.728915</v>
      </c>
      <c r="BK55" s="671">
        <f t="shared" si="66"/>
        <v>1391808913.3456123</v>
      </c>
      <c r="BL55" s="671">
        <f t="shared" si="66"/>
        <v>1374422586.3775623</v>
      </c>
      <c r="BM55" s="671">
        <f t="shared" si="66"/>
        <v>1331966433.9713838</v>
      </c>
      <c r="BN55" s="671">
        <f t="shared" si="66"/>
        <v>1340038744.3756604</v>
      </c>
      <c r="BO55" s="671">
        <f t="shared" si="66"/>
        <v>1472519184.9480376</v>
      </c>
      <c r="BP55" s="671">
        <f t="shared" si="66"/>
        <v>1489664675.2485232</v>
      </c>
      <c r="BQ55" s="671">
        <f t="shared" si="66"/>
        <v>1573264766.5446064</v>
      </c>
      <c r="BR55" s="671">
        <f t="shared" si="66"/>
        <v>1701198738.3913839</v>
      </c>
      <c r="BS55" s="671">
        <f t="shared" ref="BS55:CL55" si="67">BS23*BS2+BS3*BS24+BS25*BS4+BS5*BS26+BS27*FB41</f>
        <v>1534549682.8017168</v>
      </c>
      <c r="BT55" s="671">
        <f t="shared" si="67"/>
        <v>1169308899.7940035</v>
      </c>
      <c r="BU55" s="671">
        <f t="shared" si="67"/>
        <v>1387284535.9006429</v>
      </c>
      <c r="BV55" s="671">
        <f t="shared" si="67"/>
        <v>1395877302.3535178</v>
      </c>
      <c r="BW55" s="671">
        <f t="shared" si="67"/>
        <v>1500546775.893831</v>
      </c>
      <c r="BX55" s="671">
        <f t="shared" si="67"/>
        <v>1234181042.223506</v>
      </c>
      <c r="BY55" s="671">
        <f t="shared" si="67"/>
        <v>1247697434.9741211</v>
      </c>
      <c r="BZ55" s="671">
        <f t="shared" si="67"/>
        <v>1215593511.4364529</v>
      </c>
      <c r="CA55" s="671">
        <f t="shared" si="67"/>
        <v>1106661812.1651123</v>
      </c>
      <c r="CB55" s="671">
        <f t="shared" si="67"/>
        <v>1289823587.8427467</v>
      </c>
      <c r="CC55" s="671">
        <f t="shared" si="67"/>
        <v>1414667801.8354745</v>
      </c>
      <c r="CD55" s="671">
        <f t="shared" si="67"/>
        <v>1636428471.4742761</v>
      </c>
      <c r="CE55" s="671">
        <f t="shared" si="67"/>
        <v>1797184872.6842172</v>
      </c>
      <c r="CF55" s="671">
        <f t="shared" si="67"/>
        <v>1888665055.7712564</v>
      </c>
      <c r="CG55" s="671">
        <f t="shared" si="67"/>
        <v>1776283740.570477</v>
      </c>
      <c r="CH55" s="671">
        <f t="shared" si="67"/>
        <v>1737522276.5154564</v>
      </c>
      <c r="CI55" s="671">
        <f t="shared" si="67"/>
        <v>1873092305.3109338</v>
      </c>
      <c r="CJ55" s="671">
        <f t="shared" si="67"/>
        <v>2072069835.968684</v>
      </c>
      <c r="CK55" s="671">
        <f t="shared" si="67"/>
        <v>2070695899.1789467</v>
      </c>
      <c r="CL55" s="673">
        <f t="shared" si="67"/>
        <v>2101136121.5706892</v>
      </c>
      <c r="CM55" s="644">
        <f t="shared" si="0"/>
        <v>1621614514.9073486</v>
      </c>
      <c r="CN55" s="245"/>
      <c r="CO55" s="245"/>
      <c r="CP55" s="245"/>
      <c r="CQ55" s="245"/>
      <c r="CR55" s="245"/>
      <c r="CS55" s="245"/>
      <c r="CT55" s="245"/>
      <c r="CU55" s="245"/>
      <c r="CV55" s="245"/>
      <c r="CW55" s="245"/>
      <c r="CX55" s="245"/>
      <c r="CY55" s="245"/>
      <c r="CZ55" s="245"/>
      <c r="DA55" s="245"/>
      <c r="DB55" s="245"/>
      <c r="DC55" s="245"/>
      <c r="DD55" s="245"/>
      <c r="DE55" s="245"/>
      <c r="DF55" s="245"/>
      <c r="DG55" s="245"/>
      <c r="DH55" s="245"/>
      <c r="DI55" s="245"/>
      <c r="DJ55" s="245"/>
      <c r="DK55" s="245"/>
      <c r="DL55" s="245"/>
      <c r="DM55" s="245"/>
      <c r="DN55" s="245"/>
      <c r="DO55" s="245"/>
      <c r="DP55" s="245"/>
      <c r="DQ55" s="245"/>
      <c r="DR55" s="245"/>
      <c r="DS55" s="245"/>
      <c r="DT55" s="245"/>
      <c r="DU55" s="245"/>
      <c r="DV55" s="245"/>
      <c r="DW55" s="245"/>
      <c r="DX55" s="245"/>
      <c r="DY55" s="245"/>
      <c r="DZ55" s="245"/>
      <c r="EA55" s="245"/>
      <c r="EB55" s="245"/>
      <c r="EC55" s="245"/>
      <c r="ED55" s="245"/>
      <c r="EE55" s="245"/>
      <c r="EF55" s="245"/>
      <c r="EG55" s="245"/>
      <c r="EH55" s="245"/>
      <c r="EI55" s="245"/>
      <c r="EJ55" s="245"/>
      <c r="EK55" s="245"/>
      <c r="EL55" s="245"/>
      <c r="EM55" s="245"/>
      <c r="EN55" s="245"/>
      <c r="EO55" s="245"/>
      <c r="EP55" s="245"/>
      <c r="EQ55" s="245"/>
      <c r="ER55" s="245"/>
      <c r="ES55" s="245"/>
      <c r="ET55" s="245"/>
      <c r="EU55" s="245"/>
      <c r="EV55" s="245"/>
      <c r="EW55" s="245"/>
      <c r="EX55" s="245"/>
      <c r="EY55" s="245"/>
      <c r="EZ55" s="245"/>
      <c r="FA55" s="245"/>
      <c r="FB55" s="245"/>
      <c r="FC55" s="245"/>
      <c r="FD55" s="245"/>
      <c r="FE55" s="245"/>
      <c r="FF55" s="245"/>
      <c r="FG55" s="245"/>
      <c r="FH55" s="245"/>
      <c r="FI55" s="245"/>
      <c r="FJ55" s="245"/>
      <c r="FK55" s="245"/>
      <c r="FL55" s="245"/>
      <c r="FM55" s="245"/>
      <c r="FN55" s="245"/>
      <c r="FO55" s="245"/>
      <c r="FP55" s="245"/>
      <c r="FQ55" s="245"/>
      <c r="FR55" s="245"/>
      <c r="FS55" s="245"/>
      <c r="FT55" s="245"/>
      <c r="FU55" s="245"/>
      <c r="FV55" s="245"/>
    </row>
    <row r="56" spans="1:178">
      <c r="A56" s="760" t="s">
        <v>515</v>
      </c>
      <c r="B56" s="761" t="s">
        <v>309</v>
      </c>
      <c r="C56" s="633" t="s">
        <v>341</v>
      </c>
      <c r="D56" s="1031"/>
      <c r="E56" s="653" t="s">
        <v>349</v>
      </c>
      <c r="F56" s="633" t="s">
        <v>516</v>
      </c>
      <c r="G56" s="633">
        <v>61200</v>
      </c>
      <c r="H56" s="633">
        <v>59900</v>
      </c>
      <c r="I56" s="633">
        <v>56300</v>
      </c>
      <c r="J56" s="633">
        <v>55700</v>
      </c>
      <c r="K56" s="633">
        <v>56300</v>
      </c>
      <c r="L56" s="633">
        <v>58150</v>
      </c>
      <c r="M56" s="633">
        <v>53250</v>
      </c>
      <c r="N56" s="633">
        <v>56120</v>
      </c>
      <c r="O56" s="633">
        <v>54550</v>
      </c>
      <c r="P56" s="633">
        <v>53770</v>
      </c>
      <c r="Q56" s="633">
        <v>49150</v>
      </c>
      <c r="R56" s="634">
        <v>50422</v>
      </c>
      <c r="S56" s="766">
        <v>49632</v>
      </c>
      <c r="T56" s="766">
        <v>49654</v>
      </c>
      <c r="U56" s="766">
        <v>48444</v>
      </c>
      <c r="V56" s="766">
        <v>47003</v>
      </c>
      <c r="W56" s="766">
        <v>40139</v>
      </c>
      <c r="X56" s="766">
        <v>34287</v>
      </c>
      <c r="Y56" s="766">
        <v>33539</v>
      </c>
      <c r="Z56" s="766">
        <v>36223</v>
      </c>
      <c r="AA56" s="766">
        <v>39941</v>
      </c>
      <c r="AB56" s="766">
        <v>49192</v>
      </c>
      <c r="AC56" s="766">
        <v>45859</v>
      </c>
      <c r="AD56" s="766">
        <v>44209</v>
      </c>
      <c r="AE56" s="766">
        <v>45177</v>
      </c>
      <c r="AF56" s="766">
        <v>47421</v>
      </c>
      <c r="AG56" s="766">
        <v>49984</v>
      </c>
      <c r="AH56" s="766">
        <v>56419</v>
      </c>
      <c r="AI56" s="766">
        <v>63173</v>
      </c>
      <c r="AJ56" s="766">
        <v>81400</v>
      </c>
      <c r="AK56" s="633">
        <v>69960</v>
      </c>
      <c r="AL56" s="633">
        <v>74305</v>
      </c>
      <c r="AM56" s="633">
        <v>66880</v>
      </c>
      <c r="AN56" s="633">
        <v>61600</v>
      </c>
      <c r="AO56" s="633">
        <v>63800</v>
      </c>
      <c r="AP56" s="633">
        <v>58300</v>
      </c>
      <c r="AQ56" s="633">
        <v>60500</v>
      </c>
      <c r="AR56" s="633">
        <v>61600</v>
      </c>
      <c r="AS56" s="633">
        <v>63800</v>
      </c>
      <c r="AT56" s="637">
        <v>59857.599999999999</v>
      </c>
      <c r="AU56" s="637">
        <v>61148.175000000003</v>
      </c>
      <c r="AV56" s="637">
        <v>61942.375</v>
      </c>
      <c r="AW56" s="637">
        <v>63729.324999999997</v>
      </c>
      <c r="AX56" s="637">
        <v>66608.3</v>
      </c>
      <c r="AY56" s="637">
        <v>64722.074999999997</v>
      </c>
      <c r="AZ56" s="637">
        <v>61644.55</v>
      </c>
      <c r="BA56" s="637">
        <v>57177.175000000003</v>
      </c>
      <c r="BB56" s="637">
        <v>58269.2</v>
      </c>
      <c r="BC56" s="637">
        <v>60949.625</v>
      </c>
      <c r="BD56" s="637">
        <v>60651.8</v>
      </c>
      <c r="BE56" s="637">
        <v>62587.662499999999</v>
      </c>
      <c r="BF56" s="637">
        <v>60909.914999999994</v>
      </c>
      <c r="BG56" s="637">
        <v>59480.354999999996</v>
      </c>
      <c r="BH56" s="637">
        <v>57584.202499999992</v>
      </c>
      <c r="BI56" s="637">
        <v>54526.532500000001</v>
      </c>
      <c r="BJ56" s="637">
        <v>52094.294999999998</v>
      </c>
      <c r="BK56" s="637">
        <v>48689.162499999999</v>
      </c>
      <c r="BL56" s="637">
        <v>46852.574999999997</v>
      </c>
      <c r="BM56" s="637">
        <v>48421.119999999995</v>
      </c>
      <c r="BN56" s="637">
        <v>53891.172500000001</v>
      </c>
      <c r="BO56" s="637">
        <v>54953.414999999994</v>
      </c>
      <c r="BP56" s="637">
        <v>51756.759999999995</v>
      </c>
      <c r="BQ56" s="637">
        <v>50287.490000000005</v>
      </c>
      <c r="BR56" s="637">
        <v>51697.195</v>
      </c>
      <c r="BS56" s="637">
        <v>53851.462500000001</v>
      </c>
      <c r="BT56" s="637">
        <v>47621.956250000003</v>
      </c>
      <c r="BU56" s="637">
        <v>52521.177499999991</v>
      </c>
      <c r="BV56" s="637">
        <v>53633.057499999995</v>
      </c>
      <c r="BW56" s="637">
        <v>53235.957499999997</v>
      </c>
      <c r="BX56" s="637">
        <v>56442.539999999994</v>
      </c>
      <c r="BY56" s="637">
        <v>64255.482499999998</v>
      </c>
      <c r="BZ56" s="637">
        <v>63828.6</v>
      </c>
      <c r="CA56" s="637">
        <v>65099.32</v>
      </c>
      <c r="CB56" s="637">
        <v>69417.782500000001</v>
      </c>
      <c r="CC56" s="637">
        <v>77578.1875</v>
      </c>
      <c r="CD56" s="637">
        <v>73001.609999999986</v>
      </c>
      <c r="CE56" s="637">
        <v>81950</v>
      </c>
      <c r="CF56" s="637">
        <v>84480</v>
      </c>
      <c r="CG56" s="637">
        <v>86790</v>
      </c>
      <c r="CH56" s="637">
        <v>90640</v>
      </c>
      <c r="CI56" s="637">
        <v>95370</v>
      </c>
      <c r="CJ56" s="637">
        <v>76525.350000000006</v>
      </c>
      <c r="CK56" s="637">
        <v>69617.899999999994</v>
      </c>
      <c r="CL56" s="773">
        <v>68019.05</v>
      </c>
      <c r="CM56" s="644">
        <f t="shared" si="0"/>
        <v>58590.053407738094</v>
      </c>
      <c r="CN56" s="245"/>
      <c r="CO56" s="245"/>
      <c r="CP56" s="245"/>
      <c r="CQ56" s="245"/>
      <c r="CR56" s="245"/>
      <c r="CS56" s="245"/>
      <c r="CT56" s="245"/>
      <c r="CU56" s="245"/>
      <c r="CV56" s="245"/>
      <c r="CW56" s="245"/>
      <c r="CX56" s="245"/>
      <c r="CY56" s="245"/>
      <c r="CZ56" s="245"/>
      <c r="DA56" s="245"/>
      <c r="DB56" s="245"/>
      <c r="DC56" s="245"/>
      <c r="DD56" s="245"/>
      <c r="DE56" s="245"/>
      <c r="DF56" s="245"/>
      <c r="DG56" s="245"/>
      <c r="DH56" s="245"/>
      <c r="DI56" s="245"/>
      <c r="DJ56" s="245"/>
      <c r="DK56" s="245"/>
      <c r="DL56" s="245"/>
      <c r="DM56" s="245"/>
      <c r="DN56" s="245"/>
      <c r="DO56" s="245"/>
      <c r="DP56" s="245"/>
      <c r="DQ56" s="245"/>
      <c r="DR56" s="245"/>
      <c r="DS56" s="245"/>
      <c r="DT56" s="245"/>
      <c r="DU56" s="245"/>
      <c r="DV56" s="245"/>
      <c r="DW56" s="245"/>
      <c r="DX56" s="245"/>
      <c r="DY56" s="245"/>
      <c r="DZ56" s="245"/>
      <c r="EA56" s="245"/>
      <c r="EB56" s="245"/>
      <c r="EC56" s="245"/>
      <c r="ED56" s="245"/>
      <c r="EE56" s="245"/>
      <c r="EF56" s="245"/>
      <c r="EG56" s="245"/>
      <c r="EH56" s="245"/>
      <c r="EI56" s="245"/>
      <c r="EJ56" s="245"/>
      <c r="EK56" s="245"/>
      <c r="EL56" s="245"/>
      <c r="EM56" s="245"/>
      <c r="EN56" s="245"/>
      <c r="EO56" s="245"/>
      <c r="EP56" s="245"/>
      <c r="EQ56" s="245"/>
      <c r="ER56" s="245"/>
      <c r="ES56" s="245"/>
      <c r="ET56" s="245"/>
      <c r="EU56" s="245"/>
      <c r="EV56" s="245"/>
      <c r="EW56" s="245"/>
      <c r="EX56" s="245"/>
      <c r="EY56" s="245"/>
      <c r="EZ56" s="245"/>
      <c r="FA56" s="245"/>
      <c r="FB56" s="245"/>
      <c r="FC56" s="245"/>
      <c r="FD56" s="245"/>
      <c r="FE56" s="245"/>
      <c r="FF56" s="245"/>
      <c r="FG56" s="245"/>
      <c r="FH56" s="245"/>
      <c r="FI56" s="245"/>
      <c r="FJ56" s="245"/>
      <c r="FK56" s="245"/>
      <c r="FL56" s="245"/>
      <c r="FM56" s="245"/>
      <c r="FN56" s="245"/>
      <c r="FO56" s="245"/>
      <c r="FP56" s="245"/>
      <c r="FQ56" s="245"/>
      <c r="FR56" s="245"/>
      <c r="FS56" s="245"/>
      <c r="FT56" s="245"/>
      <c r="FU56" s="245"/>
      <c r="FV56" s="245"/>
    </row>
    <row r="57" spans="1:178">
      <c r="A57" s="648" t="s">
        <v>517</v>
      </c>
      <c r="B57" s="647" t="s">
        <v>309</v>
      </c>
      <c r="C57" s="648" t="s">
        <v>341</v>
      </c>
      <c r="D57" s="1032"/>
      <c r="E57" s="669" t="s">
        <v>349</v>
      </c>
      <c r="F57" s="774" t="s">
        <v>518</v>
      </c>
      <c r="G57" s="648">
        <v>77300</v>
      </c>
      <c r="H57" s="648">
        <v>75200</v>
      </c>
      <c r="I57" s="648">
        <v>72150</v>
      </c>
      <c r="J57" s="648">
        <v>70700</v>
      </c>
      <c r="K57" s="648">
        <v>71399</v>
      </c>
      <c r="L57" s="648">
        <v>74500</v>
      </c>
      <c r="M57" s="648">
        <v>72800</v>
      </c>
      <c r="N57" s="648">
        <v>69900</v>
      </c>
      <c r="O57" s="648">
        <v>65300</v>
      </c>
      <c r="P57" s="648">
        <v>67800</v>
      </c>
      <c r="Q57" s="648">
        <v>65900</v>
      </c>
      <c r="R57" s="649">
        <v>63400</v>
      </c>
      <c r="S57" s="766">
        <v>69927</v>
      </c>
      <c r="T57" s="766">
        <v>59774</v>
      </c>
      <c r="U57" s="766">
        <v>58597</v>
      </c>
      <c r="V57" s="766">
        <v>59664</v>
      </c>
      <c r="W57" s="766">
        <v>60951</v>
      </c>
      <c r="X57" s="766">
        <v>59686</v>
      </c>
      <c r="Y57" s="766">
        <v>68849</v>
      </c>
      <c r="Z57" s="766">
        <v>67639</v>
      </c>
      <c r="AA57" s="766">
        <v>76131</v>
      </c>
      <c r="AB57" s="766">
        <v>73282</v>
      </c>
      <c r="AC57" s="766">
        <v>66891</v>
      </c>
      <c r="AD57" s="766">
        <v>68827</v>
      </c>
      <c r="AE57" s="766">
        <v>67826</v>
      </c>
      <c r="AF57" s="766">
        <v>67529</v>
      </c>
      <c r="AG57" s="766">
        <v>70037</v>
      </c>
      <c r="AH57" s="766">
        <v>61501</v>
      </c>
      <c r="AI57" s="766">
        <v>68992</v>
      </c>
      <c r="AJ57" s="766">
        <v>72501</v>
      </c>
      <c r="AK57" s="775">
        <v>68786.3</v>
      </c>
      <c r="AL57" s="775">
        <v>63184</v>
      </c>
      <c r="AM57" s="775">
        <v>61679.199999999997</v>
      </c>
      <c r="AN57" s="775">
        <v>62747.3</v>
      </c>
      <c r="AO57" s="775">
        <v>64520.5</v>
      </c>
      <c r="AP57" s="775">
        <v>63347.9</v>
      </c>
      <c r="AQ57" s="775">
        <v>70908.2</v>
      </c>
      <c r="AR57" s="775">
        <v>81957.7</v>
      </c>
      <c r="AS57" s="775">
        <v>81801.5</v>
      </c>
      <c r="AT57" s="775">
        <v>86989.1</v>
      </c>
      <c r="AU57" s="651">
        <v>86608.5</v>
      </c>
      <c r="AV57" s="651">
        <v>89952.5</v>
      </c>
      <c r="AW57" s="651">
        <v>91206.5</v>
      </c>
      <c r="AX57" s="651">
        <v>92878.5</v>
      </c>
      <c r="AY57" s="651">
        <v>88176</v>
      </c>
      <c r="AZ57" s="651">
        <v>90161.5</v>
      </c>
      <c r="BA57" s="651">
        <v>90788.5</v>
      </c>
      <c r="BB57" s="651">
        <v>91729</v>
      </c>
      <c r="BC57" s="651">
        <v>94550.5</v>
      </c>
      <c r="BD57" s="651">
        <v>98208</v>
      </c>
      <c r="BE57" s="651">
        <v>94968.5</v>
      </c>
      <c r="BF57" s="651">
        <v>90140.6</v>
      </c>
      <c r="BG57" s="651">
        <v>86817.5</v>
      </c>
      <c r="BH57" s="651">
        <v>83369</v>
      </c>
      <c r="BI57" s="651">
        <v>82533</v>
      </c>
      <c r="BJ57" s="651">
        <v>80234</v>
      </c>
      <c r="BK57" s="651">
        <v>78457.5</v>
      </c>
      <c r="BL57" s="651">
        <v>78353</v>
      </c>
      <c r="BM57" s="651">
        <v>74382</v>
      </c>
      <c r="BN57" s="651">
        <v>75395.649999999994</v>
      </c>
      <c r="BO57" s="651">
        <v>74068.5</v>
      </c>
      <c r="BP57" s="651">
        <v>70411</v>
      </c>
      <c r="BQ57" s="651">
        <v>65656.25</v>
      </c>
      <c r="BR57" s="651">
        <v>71038</v>
      </c>
      <c r="BS57" s="651">
        <v>78457.5</v>
      </c>
      <c r="BT57" s="651">
        <v>76472</v>
      </c>
      <c r="BU57" s="651">
        <v>72501</v>
      </c>
      <c r="BV57" s="651">
        <v>71665</v>
      </c>
      <c r="BW57" s="651">
        <v>72344.25</v>
      </c>
      <c r="BX57" s="651">
        <v>73755</v>
      </c>
      <c r="BY57" s="651">
        <v>73964</v>
      </c>
      <c r="BZ57" s="651">
        <v>75845</v>
      </c>
      <c r="CA57" s="651">
        <v>74800</v>
      </c>
      <c r="CB57" s="651">
        <v>75427</v>
      </c>
      <c r="CC57" s="651">
        <v>80735.600000000006</v>
      </c>
      <c r="CD57" s="651">
        <v>73838.600000000006</v>
      </c>
      <c r="CE57" s="651">
        <v>80432.55</v>
      </c>
      <c r="CF57" s="651">
        <v>100078.55</v>
      </c>
      <c r="CG57" s="651">
        <v>97455.6</v>
      </c>
      <c r="CH57" s="651">
        <v>100151.7</v>
      </c>
      <c r="CI57" s="651">
        <v>101771.45</v>
      </c>
      <c r="CJ57" s="651">
        <v>103359.85</v>
      </c>
      <c r="CK57" s="651">
        <v>106359</v>
      </c>
      <c r="CL57" s="652">
        <v>110852.5</v>
      </c>
      <c r="CM57" s="644">
        <f t="shared" si="0"/>
        <v>77038.391071428574</v>
      </c>
      <c r="CN57" s="245"/>
      <c r="CO57" s="245"/>
      <c r="CP57" s="245"/>
      <c r="CQ57" s="245"/>
      <c r="CR57" s="245"/>
      <c r="CS57" s="245"/>
      <c r="CT57" s="245"/>
      <c r="CU57" s="245"/>
      <c r="CV57" s="245"/>
      <c r="CW57" s="245"/>
      <c r="CX57" s="245"/>
      <c r="CY57" s="245"/>
      <c r="CZ57" s="245"/>
      <c r="DA57" s="245"/>
      <c r="DB57" s="245"/>
      <c r="DC57" s="245"/>
      <c r="DD57" s="245"/>
      <c r="DE57" s="245"/>
      <c r="DF57" s="245"/>
      <c r="DG57" s="245"/>
      <c r="DH57" s="245"/>
      <c r="DI57" s="245"/>
      <c r="DJ57" s="245"/>
      <c r="DK57" s="245"/>
      <c r="DL57" s="245"/>
      <c r="DM57" s="245"/>
      <c r="DN57" s="245"/>
      <c r="DO57" s="245"/>
      <c r="DP57" s="245"/>
      <c r="DQ57" s="245"/>
      <c r="DR57" s="245"/>
      <c r="DS57" s="245"/>
      <c r="DT57" s="245"/>
      <c r="DU57" s="245"/>
      <c r="DV57" s="245"/>
      <c r="DW57" s="245"/>
      <c r="DX57" s="245"/>
      <c r="DY57" s="245"/>
      <c r="DZ57" s="245"/>
      <c r="EA57" s="245"/>
      <c r="EB57" s="245"/>
      <c r="EC57" s="245"/>
      <c r="ED57" s="245"/>
      <c r="EE57" s="245"/>
      <c r="EF57" s="245"/>
      <c r="EG57" s="245"/>
      <c r="EH57" s="245"/>
      <c r="EI57" s="245"/>
      <c r="EJ57" s="245"/>
      <c r="EK57" s="245"/>
      <c r="EL57" s="245"/>
      <c r="EM57" s="245"/>
      <c r="EN57" s="245"/>
      <c r="EO57" s="245"/>
      <c r="EP57" s="245"/>
      <c r="EQ57" s="245"/>
      <c r="ER57" s="245"/>
      <c r="ES57" s="245"/>
      <c r="ET57" s="245"/>
      <c r="EU57" s="245"/>
      <c r="EV57" s="245"/>
      <c r="EW57" s="245"/>
      <c r="EX57" s="245"/>
      <c r="EY57" s="245"/>
      <c r="EZ57" s="245"/>
      <c r="FA57" s="245"/>
      <c r="FB57" s="245"/>
      <c r="FC57" s="245"/>
      <c r="FD57" s="245"/>
      <c r="FE57" s="245"/>
      <c r="FF57" s="245"/>
      <c r="FG57" s="245"/>
      <c r="FH57" s="245"/>
      <c r="FI57" s="245"/>
      <c r="FJ57" s="245"/>
      <c r="FK57" s="245"/>
      <c r="FL57" s="245"/>
      <c r="FM57" s="245"/>
      <c r="FN57" s="245"/>
      <c r="FO57" s="245"/>
      <c r="FP57" s="245"/>
      <c r="FQ57" s="245"/>
      <c r="FR57" s="245"/>
      <c r="FS57" s="245"/>
      <c r="FT57" s="245"/>
      <c r="FU57" s="245"/>
      <c r="FV57" s="245"/>
    </row>
    <row r="58" spans="1:178">
      <c r="A58" s="245"/>
      <c r="B58" s="245"/>
      <c r="C58" s="245"/>
      <c r="D58" s="245"/>
      <c r="E58" s="245"/>
      <c r="F58" s="776"/>
      <c r="G58" s="776"/>
      <c r="H58" s="776"/>
      <c r="I58" s="776"/>
      <c r="J58" s="776"/>
      <c r="K58" s="776"/>
      <c r="L58" s="776"/>
      <c r="M58" s="776"/>
      <c r="N58" s="776"/>
      <c r="O58" s="776"/>
      <c r="P58" s="776"/>
      <c r="Q58" s="776"/>
      <c r="R58" s="776"/>
      <c r="S58" s="777"/>
      <c r="T58" s="777"/>
      <c r="U58" s="777"/>
      <c r="V58" s="777"/>
      <c r="W58" s="777"/>
      <c r="X58" s="777"/>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8">
        <v>8000</v>
      </c>
      <c r="AU58" s="777"/>
      <c r="AV58" s="777"/>
      <c r="AW58" s="777"/>
      <c r="AX58" s="777"/>
      <c r="AY58" s="777"/>
      <c r="AZ58" s="777"/>
      <c r="BA58" s="777"/>
      <c r="BB58" s="777"/>
      <c r="BC58" s="777"/>
      <c r="BD58" s="777"/>
      <c r="BE58" s="777"/>
      <c r="BF58" s="777"/>
      <c r="BG58" s="777"/>
      <c r="BH58" s="777"/>
      <c r="BI58" s="777"/>
      <c r="BJ58" s="777"/>
      <c r="BK58" s="777"/>
      <c r="BL58" s="777"/>
      <c r="BM58" s="777"/>
      <c r="BN58" s="777"/>
      <c r="BO58" s="777"/>
      <c r="BP58" s="777"/>
      <c r="BQ58" s="777"/>
      <c r="BR58" s="777"/>
      <c r="BS58" s="777"/>
      <c r="BT58" s="777"/>
      <c r="BU58" s="777"/>
      <c r="BV58" s="777"/>
      <c r="BW58" s="777"/>
      <c r="BX58" s="777"/>
      <c r="BY58" s="777"/>
      <c r="BZ58" s="777"/>
      <c r="CA58" s="777"/>
      <c r="CB58" s="777"/>
      <c r="CC58" s="777"/>
      <c r="CD58" s="777"/>
      <c r="CE58" s="777"/>
      <c r="CF58" s="777"/>
      <c r="CG58" s="777"/>
      <c r="CH58" s="777"/>
      <c r="CI58" s="777"/>
      <c r="CJ58" s="777"/>
      <c r="CK58" s="777"/>
      <c r="CL58" s="777"/>
      <c r="CM58" s="712"/>
      <c r="CN58" s="245"/>
      <c r="CO58" s="245"/>
      <c r="CP58" s="245"/>
      <c r="CQ58" s="245"/>
      <c r="CR58" s="245"/>
      <c r="CS58" s="245"/>
      <c r="CT58" s="245"/>
      <c r="CU58" s="245"/>
      <c r="CV58" s="245"/>
      <c r="CW58" s="245"/>
      <c r="CX58" s="245"/>
      <c r="CY58" s="245"/>
      <c r="CZ58" s="245"/>
      <c r="DA58" s="245"/>
      <c r="DB58" s="245"/>
      <c r="DC58" s="245"/>
      <c r="DD58" s="245"/>
      <c r="DE58" s="245"/>
      <c r="DF58" s="245"/>
      <c r="DG58" s="245"/>
      <c r="DH58" s="245"/>
      <c r="DI58" s="245"/>
      <c r="DJ58" s="245"/>
      <c r="DK58" s="245"/>
      <c r="DL58" s="245"/>
      <c r="DM58" s="245"/>
      <c r="DN58" s="245"/>
      <c r="DO58" s="245"/>
      <c r="DP58" s="245"/>
      <c r="DQ58" s="245"/>
      <c r="DR58" s="245"/>
      <c r="DS58" s="245"/>
      <c r="DT58" s="245"/>
      <c r="DU58" s="245"/>
      <c r="DV58" s="245"/>
      <c r="DW58" s="245"/>
      <c r="DX58" s="245"/>
      <c r="DY58" s="245"/>
      <c r="DZ58" s="245"/>
      <c r="EA58" s="245"/>
      <c r="EB58" s="245"/>
      <c r="EC58" s="245"/>
      <c r="ED58" s="245"/>
      <c r="EE58" s="245"/>
      <c r="EF58" s="245"/>
      <c r="EG58" s="245"/>
      <c r="EH58" s="245"/>
      <c r="EI58" s="245"/>
      <c r="EJ58" s="245"/>
      <c r="EK58" s="245"/>
      <c r="EL58" s="245"/>
      <c r="EM58" s="245"/>
      <c r="EN58" s="245"/>
      <c r="EO58" s="245"/>
      <c r="EP58" s="245"/>
      <c r="EQ58" s="245"/>
      <c r="ER58" s="245"/>
      <c r="ES58" s="245"/>
      <c r="ET58" s="245"/>
      <c r="EU58" s="245"/>
      <c r="EV58" s="245"/>
      <c r="EW58" s="245"/>
      <c r="EX58" s="245"/>
      <c r="EY58" s="245"/>
      <c r="EZ58" s="245"/>
      <c r="FA58" s="245"/>
      <c r="FB58" s="245"/>
      <c r="FC58" s="245"/>
      <c r="FD58" s="245"/>
      <c r="FE58" s="245"/>
      <c r="FF58" s="245"/>
      <c r="FG58" s="245"/>
      <c r="FH58" s="245"/>
      <c r="FI58" s="245"/>
      <c r="FJ58" s="245"/>
      <c r="FK58" s="245"/>
      <c r="FL58" s="245"/>
      <c r="FM58" s="245"/>
      <c r="FN58" s="245"/>
      <c r="FO58" s="245"/>
      <c r="FP58" s="245"/>
      <c r="FQ58" s="245"/>
      <c r="FR58" s="245"/>
      <c r="FS58" s="245"/>
      <c r="FT58" s="245"/>
      <c r="FU58" s="245"/>
      <c r="FV58" s="245"/>
    </row>
    <row r="59" spans="1:178" ht="12.75" customHeight="1">
      <c r="A59" s="1023" t="s">
        <v>606</v>
      </c>
      <c r="B59" s="1023"/>
      <c r="C59" s="1023"/>
      <c r="D59" s="1023"/>
      <c r="E59" s="1024"/>
      <c r="F59" s="779" t="s">
        <v>183</v>
      </c>
      <c r="G59" s="779"/>
      <c r="H59" s="779"/>
      <c r="I59" s="779"/>
      <c r="J59" s="779"/>
      <c r="K59" s="779"/>
      <c r="L59" s="779"/>
      <c r="M59" s="779"/>
      <c r="N59" s="779"/>
      <c r="O59" s="779"/>
      <c r="P59" s="779"/>
      <c r="Q59" s="779"/>
      <c r="R59" s="779"/>
      <c r="S59" s="780"/>
      <c r="T59" s="780"/>
      <c r="U59" s="780"/>
      <c r="V59" s="780"/>
      <c r="W59" s="780"/>
      <c r="X59" s="780"/>
      <c r="Y59" s="780"/>
      <c r="Z59" s="780"/>
      <c r="AA59" s="780"/>
      <c r="AB59" s="780"/>
      <c r="AC59" s="780"/>
      <c r="AD59" s="780"/>
      <c r="AE59" s="780"/>
      <c r="AF59" s="780"/>
      <c r="AG59" s="780"/>
      <c r="AH59" s="780"/>
      <c r="AI59" s="780"/>
      <c r="AJ59" s="780"/>
      <c r="AK59" s="780"/>
      <c r="AL59" s="780"/>
      <c r="AM59" s="780"/>
      <c r="AN59" s="780"/>
      <c r="AO59" s="780"/>
      <c r="AP59" s="780"/>
      <c r="AQ59" s="780"/>
      <c r="AR59" s="780"/>
      <c r="AS59" s="780"/>
      <c r="AT59" s="781"/>
      <c r="AU59" s="636"/>
      <c r="AV59" s="636"/>
      <c r="AW59" s="636"/>
      <c r="AX59" s="636"/>
      <c r="AY59" s="636"/>
      <c r="AZ59" s="636"/>
      <c r="BA59" s="636"/>
      <c r="BB59" s="636"/>
      <c r="BC59" s="636"/>
      <c r="BD59" s="636"/>
      <c r="BE59" s="636"/>
      <c r="BF59" s="636"/>
      <c r="BG59" s="636"/>
      <c r="BH59" s="636"/>
      <c r="BI59" s="636"/>
      <c r="BJ59" s="636"/>
      <c r="BK59" s="636"/>
      <c r="BL59" s="636"/>
      <c r="BM59" s="636"/>
      <c r="BN59" s="636"/>
      <c r="BO59" s="636"/>
      <c r="BP59" s="636"/>
      <c r="BQ59" s="636"/>
      <c r="BR59" s="636"/>
      <c r="BS59" s="636"/>
      <c r="BT59" s="636"/>
      <c r="BU59" s="636"/>
      <c r="BV59" s="636"/>
      <c r="BW59" s="636"/>
      <c r="BX59" s="636"/>
      <c r="BY59" s="636"/>
      <c r="BZ59" s="636"/>
      <c r="CA59" s="636"/>
      <c r="CB59" s="636"/>
      <c r="CC59" s="636"/>
      <c r="CD59" s="636"/>
      <c r="CE59" s="636"/>
      <c r="CF59" s="636"/>
      <c r="CG59" s="636"/>
      <c r="CH59" s="636"/>
      <c r="CI59" s="636"/>
      <c r="CJ59" s="636"/>
      <c r="CK59" s="636"/>
      <c r="CL59" s="636"/>
      <c r="CM59" s="780"/>
      <c r="CN59" s="245"/>
      <c r="CO59" s="245"/>
      <c r="CP59" s="245"/>
      <c r="CQ59" s="245"/>
      <c r="CR59" s="245"/>
      <c r="CS59" s="245"/>
      <c r="CT59" s="245"/>
      <c r="CU59" s="245"/>
      <c r="CV59" s="245"/>
      <c r="CW59" s="245"/>
      <c r="CX59" s="245"/>
      <c r="CY59" s="245"/>
      <c r="CZ59" s="245"/>
      <c r="DA59" s="245"/>
      <c r="DB59" s="245"/>
      <c r="DC59" s="245"/>
      <c r="DD59" s="245"/>
      <c r="DE59" s="245"/>
      <c r="DF59" s="245"/>
      <c r="DG59" s="245"/>
      <c r="DH59" s="245"/>
      <c r="DI59" s="245"/>
      <c r="DJ59" s="245"/>
      <c r="DK59" s="245"/>
      <c r="DL59" s="245"/>
      <c r="DM59" s="245"/>
      <c r="DN59" s="245"/>
      <c r="DO59" s="245"/>
      <c r="DP59" s="245"/>
      <c r="DQ59" s="245"/>
      <c r="DR59" s="245"/>
      <c r="DS59" s="245"/>
      <c r="DT59" s="245"/>
      <c r="DU59" s="245"/>
      <c r="DV59" s="245"/>
      <c r="DW59" s="245"/>
      <c r="DX59" s="245"/>
      <c r="DY59" s="245"/>
      <c r="DZ59" s="245"/>
      <c r="EA59" s="245"/>
      <c r="EB59" s="245"/>
      <c r="EC59" s="245"/>
      <c r="ED59" s="245"/>
      <c r="EE59" s="245"/>
      <c r="EF59" s="245"/>
      <c r="EG59" s="245"/>
      <c r="EH59" s="245"/>
      <c r="EI59" s="245"/>
      <c r="EJ59" s="245"/>
      <c r="EK59" s="245"/>
      <c r="EL59" s="245"/>
      <c r="EM59" s="245"/>
      <c r="EN59" s="245"/>
      <c r="EO59" s="245"/>
      <c r="EP59" s="245"/>
      <c r="EQ59" s="245"/>
      <c r="ER59" s="245"/>
      <c r="ES59" s="245"/>
      <c r="ET59" s="245"/>
      <c r="EU59" s="245"/>
      <c r="EV59" s="245"/>
      <c r="EW59" s="245"/>
      <c r="EX59" s="245"/>
      <c r="EY59" s="245"/>
      <c r="EZ59" s="245"/>
      <c r="FA59" s="245"/>
      <c r="FB59" s="245"/>
      <c r="FC59" s="245"/>
      <c r="FD59" s="245"/>
      <c r="FE59" s="245"/>
      <c r="FF59" s="245"/>
      <c r="FG59" s="245"/>
      <c r="FH59" s="245"/>
      <c r="FI59" s="245"/>
      <c r="FJ59" s="245"/>
      <c r="FK59" s="245"/>
      <c r="FL59" s="245"/>
      <c r="FM59" s="245"/>
      <c r="FN59" s="245"/>
      <c r="FO59" s="245"/>
      <c r="FP59" s="245"/>
      <c r="FQ59" s="245"/>
      <c r="FR59" s="245"/>
      <c r="FS59" s="245"/>
      <c r="FT59" s="245"/>
      <c r="FU59" s="245"/>
      <c r="FV59" s="245"/>
    </row>
    <row r="60" spans="1:178">
      <c r="A60" s="1023"/>
      <c r="B60" s="1023"/>
      <c r="C60" s="1023"/>
      <c r="D60" s="1023"/>
      <c r="E60" s="1024"/>
      <c r="F60" s="641" t="s">
        <v>184</v>
      </c>
      <c r="G60" s="778">
        <f t="shared" ref="G60:BR61" si="68">G42</f>
        <v>6421791.6041608481</v>
      </c>
      <c r="H60" s="778">
        <f t="shared" si="68"/>
        <v>6421791.6041608481</v>
      </c>
      <c r="I60" s="778">
        <f t="shared" si="68"/>
        <v>6421791.6041608481</v>
      </c>
      <c r="J60" s="778">
        <f t="shared" si="68"/>
        <v>6421791.6041608481</v>
      </c>
      <c r="K60" s="778">
        <f t="shared" si="68"/>
        <v>6421791.6041608481</v>
      </c>
      <c r="L60" s="778">
        <f t="shared" si="68"/>
        <v>6421791.6041608481</v>
      </c>
      <c r="M60" s="778">
        <f t="shared" si="68"/>
        <v>6421791.6041608481</v>
      </c>
      <c r="N60" s="778">
        <f t="shared" si="68"/>
        <v>6421791.6041608481</v>
      </c>
      <c r="O60" s="778">
        <f t="shared" si="68"/>
        <v>6421791.6041608481</v>
      </c>
      <c r="P60" s="778">
        <f t="shared" si="68"/>
        <v>6421791.6041608481</v>
      </c>
      <c r="Q60" s="778">
        <f t="shared" si="68"/>
        <v>6421791.6041608481</v>
      </c>
      <c r="R60" s="778">
        <f t="shared" si="68"/>
        <v>6421791.6041608481</v>
      </c>
      <c r="S60" s="778">
        <f t="shared" si="68"/>
        <v>6421791.6041608481</v>
      </c>
      <c r="T60" s="778">
        <f t="shared" si="68"/>
        <v>6421791.6041608481</v>
      </c>
      <c r="U60" s="778">
        <f t="shared" si="68"/>
        <v>6421791.6041608481</v>
      </c>
      <c r="V60" s="778">
        <f t="shared" si="68"/>
        <v>6421791.6041608481</v>
      </c>
      <c r="W60" s="778">
        <f t="shared" si="68"/>
        <v>6421791.6041608481</v>
      </c>
      <c r="X60" s="778">
        <f t="shared" si="68"/>
        <v>6421791.6041608481</v>
      </c>
      <c r="Y60" s="778">
        <f t="shared" si="68"/>
        <v>6421791.6041608481</v>
      </c>
      <c r="Z60" s="778">
        <f t="shared" si="68"/>
        <v>6421791.6041608481</v>
      </c>
      <c r="AA60" s="778">
        <f t="shared" si="68"/>
        <v>6421791.6041608481</v>
      </c>
      <c r="AB60" s="778">
        <f t="shared" si="68"/>
        <v>6421791.6041608481</v>
      </c>
      <c r="AC60" s="778">
        <f t="shared" si="68"/>
        <v>6421791.6041608481</v>
      </c>
      <c r="AD60" s="778">
        <f t="shared" si="68"/>
        <v>6421791.6041608481</v>
      </c>
      <c r="AE60" s="778">
        <f t="shared" si="68"/>
        <v>6421791.6041608481</v>
      </c>
      <c r="AF60" s="778">
        <f t="shared" si="68"/>
        <v>6421791.6041608481</v>
      </c>
      <c r="AG60" s="778">
        <f t="shared" si="68"/>
        <v>6421791.6041608481</v>
      </c>
      <c r="AH60" s="778">
        <f t="shared" si="68"/>
        <v>6421791.6041608481</v>
      </c>
      <c r="AI60" s="778">
        <f t="shared" si="68"/>
        <v>6421791.6041608481</v>
      </c>
      <c r="AJ60" s="778">
        <f t="shared" si="68"/>
        <v>6421791.6041608481</v>
      </c>
      <c r="AK60" s="778">
        <f t="shared" si="68"/>
        <v>6421791.6041608481</v>
      </c>
      <c r="AL60" s="778">
        <f t="shared" si="68"/>
        <v>6421791.6041608481</v>
      </c>
      <c r="AM60" s="778">
        <f t="shared" si="68"/>
        <v>6421791.6041608481</v>
      </c>
      <c r="AN60" s="778">
        <f t="shared" si="68"/>
        <v>6421791.6041608481</v>
      </c>
      <c r="AO60" s="778">
        <f t="shared" si="68"/>
        <v>6421791.6041608481</v>
      </c>
      <c r="AP60" s="778">
        <f t="shared" si="68"/>
        <v>6421791.6041608481</v>
      </c>
      <c r="AQ60" s="778">
        <f t="shared" si="68"/>
        <v>6421791.6041608481</v>
      </c>
      <c r="AR60" s="778">
        <f t="shared" si="68"/>
        <v>6421791.6041608481</v>
      </c>
      <c r="AS60" s="778">
        <f t="shared" si="68"/>
        <v>6421791.6041608481</v>
      </c>
      <c r="AT60" s="778">
        <f t="shared" si="68"/>
        <v>6421791.6041608481</v>
      </c>
      <c r="AU60" s="642">
        <f t="shared" si="68"/>
        <v>6421791.6041608481</v>
      </c>
      <c r="AV60" s="642">
        <f t="shared" si="68"/>
        <v>6421791.6041608481</v>
      </c>
      <c r="AW60" s="642">
        <f t="shared" si="68"/>
        <v>6421791.6041608481</v>
      </c>
      <c r="AX60" s="642">
        <f t="shared" si="68"/>
        <v>6421791.6041608481</v>
      </c>
      <c r="AY60" s="642">
        <f t="shared" si="68"/>
        <v>6421791.6041608481</v>
      </c>
      <c r="AZ60" s="642">
        <f t="shared" si="68"/>
        <v>6421791.6041608481</v>
      </c>
      <c r="BA60" s="642">
        <f t="shared" si="68"/>
        <v>6421791.6041608481</v>
      </c>
      <c r="BB60" s="642">
        <f t="shared" si="68"/>
        <v>6421791.6041608481</v>
      </c>
      <c r="BC60" s="642">
        <f t="shared" si="68"/>
        <v>6421791.6041608481</v>
      </c>
      <c r="BD60" s="642">
        <f t="shared" si="68"/>
        <v>6421791.6041608481</v>
      </c>
      <c r="BE60" s="642">
        <f t="shared" si="68"/>
        <v>6421791.6041608481</v>
      </c>
      <c r="BF60" s="642">
        <f t="shared" si="68"/>
        <v>6421791.6041608481</v>
      </c>
      <c r="BG60" s="642">
        <f t="shared" si="68"/>
        <v>6421791.6041608481</v>
      </c>
      <c r="BH60" s="642">
        <f t="shared" si="68"/>
        <v>6421791.6041608481</v>
      </c>
      <c r="BI60" s="642">
        <f t="shared" si="68"/>
        <v>6421791.6041608481</v>
      </c>
      <c r="BJ60" s="642">
        <f t="shared" si="68"/>
        <v>6421791.6041608481</v>
      </c>
      <c r="BK60" s="642">
        <f t="shared" si="68"/>
        <v>6421791.6041608481</v>
      </c>
      <c r="BL60" s="642">
        <f t="shared" si="68"/>
        <v>6421791.6041608481</v>
      </c>
      <c r="BM60" s="642">
        <f t="shared" si="68"/>
        <v>6421791.6041608481</v>
      </c>
      <c r="BN60" s="642">
        <f t="shared" si="68"/>
        <v>6421791.6041608481</v>
      </c>
      <c r="BO60" s="642">
        <f t="shared" si="68"/>
        <v>6421791.6041608481</v>
      </c>
      <c r="BP60" s="642">
        <f t="shared" si="68"/>
        <v>6421791.6041608481</v>
      </c>
      <c r="BQ60" s="642">
        <f t="shared" si="68"/>
        <v>6421791.6041608481</v>
      </c>
      <c r="BR60" s="642">
        <f t="shared" si="68"/>
        <v>6421791.6041608481</v>
      </c>
      <c r="BS60" s="642">
        <f t="shared" ref="BS60:CL61" si="69">BS42</f>
        <v>6421791.6041608481</v>
      </c>
      <c r="BT60" s="642">
        <f t="shared" si="69"/>
        <v>6421791.6041608481</v>
      </c>
      <c r="BU60" s="642">
        <f t="shared" si="69"/>
        <v>6421791.6041608481</v>
      </c>
      <c r="BV60" s="642">
        <f t="shared" si="69"/>
        <v>6421791.6041608481</v>
      </c>
      <c r="BW60" s="642">
        <f t="shared" si="69"/>
        <v>6421791.6041608481</v>
      </c>
      <c r="BX60" s="642">
        <f t="shared" si="69"/>
        <v>6421791.6041608481</v>
      </c>
      <c r="BY60" s="642">
        <f t="shared" si="69"/>
        <v>6421791.6041608481</v>
      </c>
      <c r="BZ60" s="642">
        <f t="shared" si="69"/>
        <v>6421791.6041608481</v>
      </c>
      <c r="CA60" s="642">
        <f t="shared" si="69"/>
        <v>6421791.6041608481</v>
      </c>
      <c r="CB60" s="642">
        <f t="shared" si="69"/>
        <v>6421791.6041608481</v>
      </c>
      <c r="CC60" s="642">
        <f t="shared" si="69"/>
        <v>6421791.6041608481</v>
      </c>
      <c r="CD60" s="642">
        <f t="shared" si="69"/>
        <v>6421791.6041608481</v>
      </c>
      <c r="CE60" s="642">
        <f t="shared" si="69"/>
        <v>6421791.6041608481</v>
      </c>
      <c r="CF60" s="642">
        <f t="shared" si="69"/>
        <v>6421791.6041608481</v>
      </c>
      <c r="CG60" s="642">
        <f t="shared" si="69"/>
        <v>6421791.6041608481</v>
      </c>
      <c r="CH60" s="642">
        <f t="shared" si="69"/>
        <v>6421791.6041608481</v>
      </c>
      <c r="CI60" s="642">
        <f t="shared" si="69"/>
        <v>6421791.6041608481</v>
      </c>
      <c r="CJ60" s="642">
        <f t="shared" si="69"/>
        <v>6421791.6041608481</v>
      </c>
      <c r="CK60" s="642">
        <f t="shared" si="69"/>
        <v>6421791.6041608481</v>
      </c>
      <c r="CL60" s="642">
        <f t="shared" si="69"/>
        <v>6421791.6041608481</v>
      </c>
      <c r="CM60" s="636">
        <f t="shared" ref="CM60:CM66" si="70">AVERAGE(G60:CL60)</f>
        <v>6421791.6041608471</v>
      </c>
      <c r="CN60" s="245"/>
      <c r="CO60" s="245"/>
      <c r="CP60" s="245"/>
      <c r="CQ60" s="245"/>
      <c r="CR60" s="245"/>
      <c r="CS60" s="245"/>
      <c r="CT60" s="245"/>
      <c r="CU60" s="245"/>
      <c r="CV60" s="245"/>
      <c r="CW60" s="245"/>
      <c r="CX60" s="245"/>
      <c r="CY60" s="245"/>
      <c r="CZ60" s="245"/>
      <c r="DA60" s="245"/>
      <c r="DB60" s="245"/>
      <c r="DC60" s="245"/>
      <c r="DD60" s="245"/>
      <c r="DE60" s="245"/>
      <c r="DF60" s="245"/>
      <c r="DG60" s="245"/>
      <c r="DH60" s="245"/>
      <c r="DI60" s="245"/>
      <c r="DJ60" s="245"/>
      <c r="DK60" s="245"/>
      <c r="DL60" s="245"/>
      <c r="DM60" s="245"/>
      <c r="DN60" s="245"/>
      <c r="DO60" s="245"/>
      <c r="DP60" s="245"/>
      <c r="DQ60" s="245"/>
      <c r="DR60" s="245"/>
      <c r="DS60" s="245"/>
      <c r="DT60" s="245"/>
      <c r="DU60" s="245"/>
      <c r="DV60" s="245"/>
      <c r="DW60" s="245"/>
      <c r="DX60" s="245"/>
      <c r="DY60" s="245"/>
      <c r="DZ60" s="245"/>
      <c r="EA60" s="245"/>
      <c r="EB60" s="245"/>
      <c r="EC60" s="245"/>
      <c r="ED60" s="245"/>
      <c r="EE60" s="245"/>
      <c r="EF60" s="245"/>
      <c r="EG60" s="245"/>
      <c r="EH60" s="245"/>
      <c r="EI60" s="245"/>
      <c r="EJ60" s="245"/>
      <c r="EK60" s="245"/>
      <c r="EL60" s="245"/>
      <c r="EM60" s="245"/>
      <c r="EN60" s="245"/>
      <c r="EO60" s="245"/>
      <c r="EP60" s="245"/>
      <c r="EQ60" s="245"/>
      <c r="ER60" s="245"/>
      <c r="ES60" s="245"/>
      <c r="ET60" s="245"/>
      <c r="EU60" s="245"/>
      <c r="EV60" s="245"/>
      <c r="EW60" s="245"/>
      <c r="EX60" s="245"/>
      <c r="EY60" s="245"/>
      <c r="EZ60" s="245"/>
      <c r="FA60" s="245"/>
      <c r="FB60" s="245"/>
      <c r="FC60" s="245"/>
      <c r="FD60" s="245"/>
      <c r="FE60" s="245"/>
      <c r="FF60" s="245"/>
      <c r="FG60" s="245"/>
      <c r="FH60" s="245"/>
      <c r="FI60" s="245"/>
      <c r="FJ60" s="245"/>
      <c r="FK60" s="245"/>
      <c r="FL60" s="245"/>
      <c r="FM60" s="245"/>
      <c r="FN60" s="245"/>
      <c r="FO60" s="245"/>
      <c r="FP60" s="245"/>
      <c r="FQ60" s="245"/>
      <c r="FR60" s="245"/>
      <c r="FS60" s="245"/>
      <c r="FT60" s="245"/>
      <c r="FU60" s="245"/>
      <c r="FV60" s="245"/>
    </row>
    <row r="61" spans="1:178">
      <c r="A61" s="1023"/>
      <c r="B61" s="1023"/>
      <c r="C61" s="1023"/>
      <c r="D61" s="1023"/>
      <c r="E61" s="1024"/>
      <c r="F61" s="641" t="s">
        <v>185</v>
      </c>
      <c r="G61" s="778">
        <f t="shared" si="68"/>
        <v>12613011.550000001</v>
      </c>
      <c r="H61" s="778">
        <f t="shared" si="68"/>
        <v>12613011.550000001</v>
      </c>
      <c r="I61" s="778">
        <f t="shared" si="68"/>
        <v>12613011.550000001</v>
      </c>
      <c r="J61" s="778">
        <f t="shared" si="68"/>
        <v>12613011.550000001</v>
      </c>
      <c r="K61" s="778">
        <f t="shared" si="68"/>
        <v>12613011.550000001</v>
      </c>
      <c r="L61" s="778">
        <f t="shared" si="68"/>
        <v>12613011.550000001</v>
      </c>
      <c r="M61" s="778">
        <f t="shared" si="68"/>
        <v>12613011.550000001</v>
      </c>
      <c r="N61" s="778">
        <f t="shared" si="68"/>
        <v>12613011.550000001</v>
      </c>
      <c r="O61" s="778">
        <f t="shared" si="68"/>
        <v>12613011.550000001</v>
      </c>
      <c r="P61" s="778">
        <f t="shared" si="68"/>
        <v>12613011.550000001</v>
      </c>
      <c r="Q61" s="778">
        <f t="shared" si="68"/>
        <v>12613011.550000001</v>
      </c>
      <c r="R61" s="778">
        <f t="shared" si="68"/>
        <v>12613011.550000001</v>
      </c>
      <c r="S61" s="778">
        <f t="shared" si="68"/>
        <v>12613011.550000001</v>
      </c>
      <c r="T61" s="778">
        <f t="shared" si="68"/>
        <v>12613011.550000001</v>
      </c>
      <c r="U61" s="778">
        <f t="shared" si="68"/>
        <v>12613011.550000001</v>
      </c>
      <c r="V61" s="778">
        <f t="shared" si="68"/>
        <v>12613011.550000001</v>
      </c>
      <c r="W61" s="778">
        <f t="shared" si="68"/>
        <v>12613011.550000001</v>
      </c>
      <c r="X61" s="778">
        <f t="shared" si="68"/>
        <v>12613011.550000001</v>
      </c>
      <c r="Y61" s="778">
        <f t="shared" si="68"/>
        <v>12613011.550000001</v>
      </c>
      <c r="Z61" s="778">
        <f t="shared" si="68"/>
        <v>12613011.550000001</v>
      </c>
      <c r="AA61" s="778">
        <f t="shared" si="68"/>
        <v>12613011.550000001</v>
      </c>
      <c r="AB61" s="778">
        <f t="shared" si="68"/>
        <v>12613011.550000001</v>
      </c>
      <c r="AC61" s="778">
        <f t="shared" si="68"/>
        <v>12613011.550000001</v>
      </c>
      <c r="AD61" s="778">
        <f t="shared" si="68"/>
        <v>12613011.550000001</v>
      </c>
      <c r="AE61" s="778">
        <f t="shared" si="68"/>
        <v>12613011.550000001</v>
      </c>
      <c r="AF61" s="778">
        <f t="shared" si="68"/>
        <v>12613011.550000001</v>
      </c>
      <c r="AG61" s="778">
        <f t="shared" si="68"/>
        <v>12613011.550000001</v>
      </c>
      <c r="AH61" s="778">
        <f t="shared" si="68"/>
        <v>12613011.550000001</v>
      </c>
      <c r="AI61" s="778">
        <f t="shared" si="68"/>
        <v>12613011.550000001</v>
      </c>
      <c r="AJ61" s="778">
        <f t="shared" si="68"/>
        <v>12613011.550000001</v>
      </c>
      <c r="AK61" s="778">
        <f t="shared" si="68"/>
        <v>12613011.550000001</v>
      </c>
      <c r="AL61" s="778">
        <f t="shared" si="68"/>
        <v>12613011.550000001</v>
      </c>
      <c r="AM61" s="778">
        <f t="shared" si="68"/>
        <v>12613011.550000001</v>
      </c>
      <c r="AN61" s="778">
        <f t="shared" si="68"/>
        <v>12613011.550000001</v>
      </c>
      <c r="AO61" s="778">
        <f t="shared" si="68"/>
        <v>12613011.550000001</v>
      </c>
      <c r="AP61" s="778">
        <f t="shared" si="68"/>
        <v>12613011.550000001</v>
      </c>
      <c r="AQ61" s="778">
        <f t="shared" si="68"/>
        <v>12613011.550000001</v>
      </c>
      <c r="AR61" s="778">
        <f t="shared" si="68"/>
        <v>12613011.550000001</v>
      </c>
      <c r="AS61" s="778">
        <f t="shared" si="68"/>
        <v>12613011.550000001</v>
      </c>
      <c r="AT61" s="778">
        <f t="shared" si="68"/>
        <v>12613011.550000001</v>
      </c>
      <c r="AU61" s="642">
        <f t="shared" si="68"/>
        <v>12613011.550000001</v>
      </c>
      <c r="AV61" s="642">
        <f t="shared" si="68"/>
        <v>12613011.550000001</v>
      </c>
      <c r="AW61" s="642">
        <f t="shared" si="68"/>
        <v>12613011.550000001</v>
      </c>
      <c r="AX61" s="642">
        <f t="shared" si="68"/>
        <v>12613011.550000001</v>
      </c>
      <c r="AY61" s="642">
        <f t="shared" si="68"/>
        <v>12613011.550000001</v>
      </c>
      <c r="AZ61" s="642">
        <f t="shared" si="68"/>
        <v>12613011.550000001</v>
      </c>
      <c r="BA61" s="642">
        <f t="shared" si="68"/>
        <v>12613011.550000001</v>
      </c>
      <c r="BB61" s="642">
        <f t="shared" si="68"/>
        <v>12613011.550000001</v>
      </c>
      <c r="BC61" s="642">
        <f t="shared" si="68"/>
        <v>12613011.550000001</v>
      </c>
      <c r="BD61" s="642">
        <f t="shared" si="68"/>
        <v>12613011.550000001</v>
      </c>
      <c r="BE61" s="642">
        <f t="shared" si="68"/>
        <v>12613011.550000001</v>
      </c>
      <c r="BF61" s="642">
        <f t="shared" si="68"/>
        <v>12613011.550000001</v>
      </c>
      <c r="BG61" s="642">
        <f t="shared" si="68"/>
        <v>12613011.550000001</v>
      </c>
      <c r="BH61" s="642">
        <f t="shared" si="68"/>
        <v>12613011.550000001</v>
      </c>
      <c r="BI61" s="642">
        <f t="shared" si="68"/>
        <v>12613011.550000001</v>
      </c>
      <c r="BJ61" s="642">
        <f t="shared" si="68"/>
        <v>12613011.550000001</v>
      </c>
      <c r="BK61" s="642">
        <f t="shared" si="68"/>
        <v>12613011.550000001</v>
      </c>
      <c r="BL61" s="642">
        <f t="shared" si="68"/>
        <v>12613011.550000001</v>
      </c>
      <c r="BM61" s="642">
        <f t="shared" si="68"/>
        <v>12613011.550000001</v>
      </c>
      <c r="BN61" s="642">
        <f t="shared" si="68"/>
        <v>12613011.550000001</v>
      </c>
      <c r="BO61" s="642">
        <f t="shared" si="68"/>
        <v>12613011.550000001</v>
      </c>
      <c r="BP61" s="642">
        <f t="shared" si="68"/>
        <v>12613011.550000001</v>
      </c>
      <c r="BQ61" s="642">
        <f t="shared" si="68"/>
        <v>12613011.550000001</v>
      </c>
      <c r="BR61" s="642">
        <f t="shared" si="68"/>
        <v>12613011.550000001</v>
      </c>
      <c r="BS61" s="642">
        <f t="shared" si="69"/>
        <v>12613011.550000001</v>
      </c>
      <c r="BT61" s="642">
        <f t="shared" si="69"/>
        <v>12613011.550000001</v>
      </c>
      <c r="BU61" s="642">
        <f t="shared" si="69"/>
        <v>12613011.550000001</v>
      </c>
      <c r="BV61" s="642">
        <f t="shared" si="69"/>
        <v>12613011.550000001</v>
      </c>
      <c r="BW61" s="642">
        <f t="shared" si="69"/>
        <v>12613011.550000001</v>
      </c>
      <c r="BX61" s="642">
        <f t="shared" si="69"/>
        <v>12613011.550000001</v>
      </c>
      <c r="BY61" s="642">
        <f t="shared" si="69"/>
        <v>12613011.550000001</v>
      </c>
      <c r="BZ61" s="642">
        <f t="shared" si="69"/>
        <v>12613011.550000001</v>
      </c>
      <c r="CA61" s="642">
        <f t="shared" si="69"/>
        <v>12613011.550000001</v>
      </c>
      <c r="CB61" s="642">
        <f t="shared" si="69"/>
        <v>12613011.550000001</v>
      </c>
      <c r="CC61" s="642">
        <f t="shared" si="69"/>
        <v>12613011.550000001</v>
      </c>
      <c r="CD61" s="642">
        <f t="shared" si="69"/>
        <v>12613011.550000001</v>
      </c>
      <c r="CE61" s="642">
        <f t="shared" si="69"/>
        <v>12613011.550000001</v>
      </c>
      <c r="CF61" s="642">
        <f t="shared" si="69"/>
        <v>12613011.550000001</v>
      </c>
      <c r="CG61" s="642">
        <f t="shared" si="69"/>
        <v>12613011.550000001</v>
      </c>
      <c r="CH61" s="642">
        <f t="shared" si="69"/>
        <v>12613011.550000001</v>
      </c>
      <c r="CI61" s="642">
        <f t="shared" si="69"/>
        <v>12613011.550000001</v>
      </c>
      <c r="CJ61" s="642">
        <f t="shared" si="69"/>
        <v>12613011.550000001</v>
      </c>
      <c r="CK61" s="642">
        <f t="shared" si="69"/>
        <v>12613011.550000001</v>
      </c>
      <c r="CL61" s="642">
        <f t="shared" si="69"/>
        <v>12613011.550000001</v>
      </c>
      <c r="CM61" s="642">
        <f t="shared" si="70"/>
        <v>12613011.54999998</v>
      </c>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row>
    <row r="62" spans="1:178">
      <c r="A62" s="1023"/>
      <c r="B62" s="1023"/>
      <c r="C62" s="1023"/>
      <c r="D62" s="1023"/>
      <c r="E62" s="1024"/>
      <c r="F62" s="782" t="s">
        <v>186</v>
      </c>
      <c r="G62" s="778">
        <f t="shared" ref="G62:BR62" si="71">G41</f>
        <v>577198522.33817685</v>
      </c>
      <c r="H62" s="778">
        <f t="shared" si="71"/>
        <v>577198522.33817685</v>
      </c>
      <c r="I62" s="778">
        <f t="shared" si="71"/>
        <v>577198522.33817685</v>
      </c>
      <c r="J62" s="778">
        <f t="shared" si="71"/>
        <v>577200381.91337681</v>
      </c>
      <c r="K62" s="778">
        <f t="shared" si="71"/>
        <v>577631515.5683769</v>
      </c>
      <c r="L62" s="778">
        <f t="shared" si="71"/>
        <v>577632135.42677689</v>
      </c>
      <c r="M62" s="778">
        <f t="shared" si="71"/>
        <v>577632135.42677689</v>
      </c>
      <c r="N62" s="778">
        <f t="shared" si="71"/>
        <v>578843052.84126496</v>
      </c>
      <c r="O62" s="778">
        <f t="shared" si="71"/>
        <v>577632755.28517687</v>
      </c>
      <c r="P62" s="778">
        <f t="shared" si="71"/>
        <v>578845377.31026495</v>
      </c>
      <c r="Q62" s="778">
        <f t="shared" si="71"/>
        <v>580055674.86635494</v>
      </c>
      <c r="R62" s="778">
        <f t="shared" si="71"/>
        <v>581265972.42244482</v>
      </c>
      <c r="S62" s="778">
        <f t="shared" si="71"/>
        <v>582476889.83693278</v>
      </c>
      <c r="T62" s="778">
        <f t="shared" si="71"/>
        <v>583689275.15835869</v>
      </c>
      <c r="U62" s="778">
        <f t="shared" si="71"/>
        <v>584899797.6274364</v>
      </c>
      <c r="V62" s="778">
        <f t="shared" si="71"/>
        <v>586209476.41527855</v>
      </c>
      <c r="W62" s="778">
        <f t="shared" si="71"/>
        <v>587383845.56370699</v>
      </c>
      <c r="X62" s="778">
        <f t="shared" si="71"/>
        <v>588558214.712134</v>
      </c>
      <c r="Y62" s="778">
        <f t="shared" si="71"/>
        <v>589732583.86056244</v>
      </c>
      <c r="Z62" s="778">
        <f t="shared" si="71"/>
        <v>590906953.00899112</v>
      </c>
      <c r="AA62" s="778">
        <f t="shared" si="71"/>
        <v>592081322.15741789</v>
      </c>
      <c r="AB62" s="778">
        <f t="shared" si="71"/>
        <v>593255691.30584645</v>
      </c>
      <c r="AC62" s="778">
        <f t="shared" si="71"/>
        <v>594430060.45427513</v>
      </c>
      <c r="AD62" s="778">
        <f t="shared" si="71"/>
        <v>595604429.6027019</v>
      </c>
      <c r="AE62" s="778">
        <f t="shared" si="71"/>
        <v>596780435.5269295</v>
      </c>
      <c r="AF62" s="778">
        <f t="shared" si="71"/>
        <v>597953167.89955723</v>
      </c>
      <c r="AG62" s="778">
        <f t="shared" si="71"/>
        <v>599127949.17480946</v>
      </c>
      <c r="AH62" s="778">
        <f t="shared" si="71"/>
        <v>600301906.19641459</v>
      </c>
      <c r="AI62" s="778">
        <f t="shared" si="71"/>
        <v>601476275.34484124</v>
      </c>
      <c r="AJ62" s="778">
        <f t="shared" si="71"/>
        <v>602650644.4932698</v>
      </c>
      <c r="AK62" s="778">
        <f t="shared" si="71"/>
        <v>603825013.64169848</v>
      </c>
      <c r="AL62" s="778">
        <f t="shared" si="71"/>
        <v>604999382.79012525</v>
      </c>
      <c r="AM62" s="778">
        <f t="shared" si="71"/>
        <v>606173751.93855393</v>
      </c>
      <c r="AN62" s="778">
        <f t="shared" si="71"/>
        <v>607348121.0869807</v>
      </c>
      <c r="AO62" s="778">
        <f t="shared" si="71"/>
        <v>608522490.23540938</v>
      </c>
      <c r="AP62" s="778">
        <f t="shared" si="71"/>
        <v>609696859.38383782</v>
      </c>
      <c r="AQ62" s="778">
        <f t="shared" si="71"/>
        <v>610871228.53226459</v>
      </c>
      <c r="AR62" s="778">
        <f t="shared" si="71"/>
        <v>612045597.68069339</v>
      </c>
      <c r="AS62" s="778">
        <f t="shared" si="71"/>
        <v>613219966.82912195</v>
      </c>
      <c r="AT62" s="778">
        <f t="shared" si="71"/>
        <v>480358962.52906466</v>
      </c>
      <c r="AU62" s="642">
        <f t="shared" si="71"/>
        <v>585156042.40356481</v>
      </c>
      <c r="AV62" s="642">
        <f t="shared" si="71"/>
        <v>588266305.13866127</v>
      </c>
      <c r="AW62" s="642">
        <f t="shared" si="71"/>
        <v>568327083.47309601</v>
      </c>
      <c r="AX62" s="642">
        <f t="shared" si="71"/>
        <v>617244859.47590363</v>
      </c>
      <c r="AY62" s="642">
        <f t="shared" si="71"/>
        <v>668882724.94326699</v>
      </c>
      <c r="AZ62" s="642">
        <f t="shared" si="71"/>
        <v>683714063.11193705</v>
      </c>
      <c r="BA62" s="642">
        <f t="shared" si="71"/>
        <v>693159965.16293657</v>
      </c>
      <c r="BB62" s="642">
        <f t="shared" si="71"/>
        <v>682620157.33884144</v>
      </c>
      <c r="BC62" s="642">
        <f t="shared" si="71"/>
        <v>731160553.64582551</v>
      </c>
      <c r="BD62" s="642">
        <f t="shared" si="71"/>
        <v>692170600.59429467</v>
      </c>
      <c r="BE62" s="642">
        <f t="shared" si="71"/>
        <v>651792823.8582499</v>
      </c>
      <c r="BF62" s="642">
        <f t="shared" si="71"/>
        <v>644961217.25700843</v>
      </c>
      <c r="BG62" s="642">
        <f t="shared" si="71"/>
        <v>695591598.84839642</v>
      </c>
      <c r="BH62" s="642">
        <f t="shared" si="71"/>
        <v>625766224.5939306</v>
      </c>
      <c r="BI62" s="642">
        <f t="shared" si="71"/>
        <v>558683796.64690077</v>
      </c>
      <c r="BJ62" s="642">
        <f t="shared" si="71"/>
        <v>546952364.98086476</v>
      </c>
      <c r="BK62" s="642">
        <f t="shared" si="71"/>
        <v>578120284.28986478</v>
      </c>
      <c r="BL62" s="642">
        <f t="shared" si="71"/>
        <v>624589574.23636472</v>
      </c>
      <c r="BM62" s="642">
        <f t="shared" si="71"/>
        <v>576886323.31786478</v>
      </c>
      <c r="BN62" s="642">
        <f t="shared" si="71"/>
        <v>560357865.49526465</v>
      </c>
      <c r="BO62" s="642">
        <f t="shared" si="71"/>
        <v>659371843.60016477</v>
      </c>
      <c r="BP62" s="642">
        <f t="shared" si="71"/>
        <v>648509035.44926488</v>
      </c>
      <c r="BQ62" s="642">
        <f t="shared" si="71"/>
        <v>708137089.06026483</v>
      </c>
      <c r="BR62" s="642">
        <f t="shared" si="71"/>
        <v>613603569.22846472</v>
      </c>
      <c r="BS62" s="642">
        <f t="shared" ref="BS62:CL62" si="72">BS41</f>
        <v>590228952.48026478</v>
      </c>
      <c r="BT62" s="642">
        <f t="shared" si="72"/>
        <v>438321560.52246475</v>
      </c>
      <c r="BU62" s="642">
        <f t="shared" si="72"/>
        <v>526692248.90126473</v>
      </c>
      <c r="BV62" s="642">
        <f t="shared" si="72"/>
        <v>505072761.21266472</v>
      </c>
      <c r="BW62" s="642">
        <f t="shared" si="72"/>
        <v>382372499.34226471</v>
      </c>
      <c r="BX62" s="642">
        <f t="shared" si="72"/>
        <v>367778044.00326473</v>
      </c>
      <c r="BY62" s="642">
        <f t="shared" si="72"/>
        <v>419785425.61786473</v>
      </c>
      <c r="BZ62" s="642">
        <f t="shared" si="72"/>
        <v>482715099.65196478</v>
      </c>
      <c r="CA62" s="642">
        <f t="shared" si="72"/>
        <v>504034642.28836477</v>
      </c>
      <c r="CB62" s="642">
        <f t="shared" si="72"/>
        <v>549559943.23616469</v>
      </c>
      <c r="CC62" s="642">
        <f t="shared" si="72"/>
        <v>589411956.97126472</v>
      </c>
      <c r="CD62" s="642">
        <f t="shared" si="72"/>
        <v>668945943.99966466</v>
      </c>
      <c r="CE62" s="642">
        <f t="shared" si="72"/>
        <v>776799169.30196488</v>
      </c>
      <c r="CF62" s="642">
        <f t="shared" si="72"/>
        <v>695542562.57326472</v>
      </c>
      <c r="CG62" s="642">
        <f t="shared" si="72"/>
        <v>591919062.82126486</v>
      </c>
      <c r="CH62" s="642">
        <f t="shared" si="72"/>
        <v>586536821.26516473</v>
      </c>
      <c r="CI62" s="642">
        <f t="shared" si="72"/>
        <v>634447337.33616483</v>
      </c>
      <c r="CJ62" s="642">
        <f t="shared" si="72"/>
        <v>707840132.61106479</v>
      </c>
      <c r="CK62" s="642">
        <f t="shared" si="72"/>
        <v>807241289.76906478</v>
      </c>
      <c r="CL62" s="642">
        <f t="shared" si="72"/>
        <v>866834210.69146478</v>
      </c>
      <c r="CM62" s="642">
        <f t="shared" si="70"/>
        <v>600702624.90250778</v>
      </c>
      <c r="CN62" s="245"/>
      <c r="CO62" s="245"/>
      <c r="CP62" s="245"/>
      <c r="CQ62" s="245"/>
      <c r="CR62" s="245"/>
      <c r="CS62" s="245"/>
      <c r="CT62" s="245"/>
      <c r="CU62" s="245"/>
      <c r="CV62" s="245"/>
      <c r="CW62" s="245"/>
      <c r="CX62" s="245"/>
      <c r="CY62" s="245"/>
      <c r="CZ62" s="245"/>
      <c r="DA62" s="245"/>
      <c r="DB62" s="245"/>
      <c r="DC62" s="245"/>
      <c r="DD62" s="245"/>
      <c r="DE62" s="245"/>
      <c r="DF62" s="245"/>
      <c r="DG62" s="245"/>
      <c r="DH62" s="245"/>
      <c r="DI62" s="245"/>
      <c r="DJ62" s="245"/>
      <c r="DK62" s="245"/>
      <c r="DL62" s="245"/>
      <c r="DM62" s="245"/>
      <c r="DN62" s="245"/>
      <c r="DO62" s="245"/>
      <c r="DP62" s="245"/>
      <c r="DQ62" s="245"/>
      <c r="DR62" s="245"/>
      <c r="DS62" s="245"/>
      <c r="DT62" s="245"/>
      <c r="DU62" s="245"/>
      <c r="DV62" s="245"/>
      <c r="DW62" s="245"/>
      <c r="DX62" s="245"/>
      <c r="DY62" s="245"/>
      <c r="DZ62" s="245"/>
      <c r="EA62" s="245"/>
      <c r="EB62" s="245"/>
      <c r="EC62" s="245"/>
      <c r="ED62" s="245"/>
      <c r="EE62" s="245"/>
      <c r="EF62" s="245"/>
      <c r="EG62" s="245"/>
      <c r="EH62" s="245"/>
      <c r="EI62" s="245"/>
      <c r="EJ62" s="245"/>
      <c r="EK62" s="245"/>
      <c r="EL62" s="245"/>
      <c r="EM62" s="245"/>
      <c r="EN62" s="245"/>
      <c r="EO62" s="245"/>
      <c r="EP62" s="245"/>
      <c r="EQ62" s="245"/>
      <c r="ER62" s="245"/>
      <c r="ES62" s="245"/>
      <c r="ET62" s="245"/>
      <c r="EU62" s="245"/>
      <c r="EV62" s="245"/>
      <c r="EW62" s="245"/>
      <c r="EX62" s="245"/>
      <c r="EY62" s="245"/>
      <c r="EZ62" s="245"/>
      <c r="FA62" s="245"/>
      <c r="FB62" s="245"/>
      <c r="FC62" s="245"/>
      <c r="FD62" s="245"/>
      <c r="FE62" s="245"/>
      <c r="FF62" s="245"/>
      <c r="FG62" s="245"/>
      <c r="FH62" s="245"/>
      <c r="FI62" s="245"/>
      <c r="FJ62" s="245"/>
      <c r="FK62" s="245"/>
      <c r="FL62" s="245"/>
      <c r="FM62" s="245"/>
      <c r="FN62" s="245"/>
      <c r="FO62" s="245"/>
      <c r="FP62" s="245"/>
      <c r="FQ62" s="245"/>
      <c r="FR62" s="245"/>
      <c r="FS62" s="245"/>
      <c r="FT62" s="245"/>
      <c r="FU62" s="245"/>
      <c r="FV62" s="245"/>
    </row>
    <row r="63" spans="1:178">
      <c r="A63" s="1023"/>
      <c r="B63" s="1023"/>
      <c r="C63" s="1023"/>
      <c r="D63" s="1023"/>
      <c r="E63" s="1024"/>
      <c r="F63" s="641" t="s">
        <v>187</v>
      </c>
      <c r="G63" s="778">
        <f t="shared" ref="G63:BR63" si="73">G45</f>
        <v>346567259</v>
      </c>
      <c r="H63" s="778">
        <f t="shared" si="73"/>
        <v>346567259</v>
      </c>
      <c r="I63" s="778">
        <f t="shared" si="73"/>
        <v>346567259</v>
      </c>
      <c r="J63" s="778">
        <f t="shared" si="73"/>
        <v>346567259</v>
      </c>
      <c r="K63" s="778">
        <f t="shared" si="73"/>
        <v>346567259</v>
      </c>
      <c r="L63" s="778">
        <f t="shared" si="73"/>
        <v>346567259</v>
      </c>
      <c r="M63" s="778">
        <f t="shared" si="73"/>
        <v>346567259</v>
      </c>
      <c r="N63" s="778">
        <f t="shared" si="73"/>
        <v>346567259</v>
      </c>
      <c r="O63" s="778">
        <f t="shared" si="73"/>
        <v>346567259</v>
      </c>
      <c r="P63" s="778">
        <f t="shared" si="73"/>
        <v>346567259</v>
      </c>
      <c r="Q63" s="778">
        <f t="shared" si="73"/>
        <v>346567259</v>
      </c>
      <c r="R63" s="778">
        <f t="shared" si="73"/>
        <v>346567259</v>
      </c>
      <c r="S63" s="778">
        <f t="shared" si="73"/>
        <v>346567259</v>
      </c>
      <c r="T63" s="778">
        <f t="shared" si="73"/>
        <v>346567259</v>
      </c>
      <c r="U63" s="778">
        <f t="shared" si="73"/>
        <v>346567259</v>
      </c>
      <c r="V63" s="778">
        <f t="shared" si="73"/>
        <v>346567259</v>
      </c>
      <c r="W63" s="778">
        <f t="shared" si="73"/>
        <v>346567259</v>
      </c>
      <c r="X63" s="778">
        <f t="shared" si="73"/>
        <v>346567259</v>
      </c>
      <c r="Y63" s="778">
        <f t="shared" si="73"/>
        <v>346567259</v>
      </c>
      <c r="Z63" s="778">
        <f t="shared" si="73"/>
        <v>346567259</v>
      </c>
      <c r="AA63" s="778">
        <f t="shared" si="73"/>
        <v>346567259</v>
      </c>
      <c r="AB63" s="778">
        <f t="shared" si="73"/>
        <v>346567259</v>
      </c>
      <c r="AC63" s="778">
        <f t="shared" si="73"/>
        <v>346567259</v>
      </c>
      <c r="AD63" s="778">
        <f t="shared" si="73"/>
        <v>346567259</v>
      </c>
      <c r="AE63" s="778">
        <f t="shared" si="73"/>
        <v>346567259</v>
      </c>
      <c r="AF63" s="778">
        <f t="shared" si="73"/>
        <v>346567259</v>
      </c>
      <c r="AG63" s="778">
        <f t="shared" si="73"/>
        <v>346567259</v>
      </c>
      <c r="AH63" s="778">
        <f t="shared" si="73"/>
        <v>346567259</v>
      </c>
      <c r="AI63" s="778">
        <f t="shared" si="73"/>
        <v>346567259</v>
      </c>
      <c r="AJ63" s="778">
        <f t="shared" si="73"/>
        <v>346567259</v>
      </c>
      <c r="AK63" s="778">
        <f t="shared" si="73"/>
        <v>346567259</v>
      </c>
      <c r="AL63" s="778">
        <f t="shared" si="73"/>
        <v>346567259</v>
      </c>
      <c r="AM63" s="778">
        <f t="shared" si="73"/>
        <v>346567259</v>
      </c>
      <c r="AN63" s="778">
        <f t="shared" si="73"/>
        <v>346567259</v>
      </c>
      <c r="AO63" s="778">
        <f t="shared" si="73"/>
        <v>346567259</v>
      </c>
      <c r="AP63" s="778">
        <f t="shared" si="73"/>
        <v>346567259</v>
      </c>
      <c r="AQ63" s="778">
        <f t="shared" si="73"/>
        <v>346567259</v>
      </c>
      <c r="AR63" s="778">
        <f t="shared" si="73"/>
        <v>346567259</v>
      </c>
      <c r="AS63" s="778">
        <f t="shared" si="73"/>
        <v>346567259</v>
      </c>
      <c r="AT63" s="778">
        <f t="shared" si="73"/>
        <v>346567259</v>
      </c>
      <c r="AU63" s="642">
        <f t="shared" si="73"/>
        <v>346567259</v>
      </c>
      <c r="AV63" s="642">
        <f t="shared" si="73"/>
        <v>346567259</v>
      </c>
      <c r="AW63" s="642">
        <f t="shared" si="73"/>
        <v>346567259</v>
      </c>
      <c r="AX63" s="642">
        <f t="shared" si="73"/>
        <v>346567259</v>
      </c>
      <c r="AY63" s="642">
        <f t="shared" si="73"/>
        <v>346567259</v>
      </c>
      <c r="AZ63" s="642">
        <f t="shared" si="73"/>
        <v>346567259</v>
      </c>
      <c r="BA63" s="642">
        <f t="shared" si="73"/>
        <v>346567259</v>
      </c>
      <c r="BB63" s="642">
        <f t="shared" si="73"/>
        <v>346567259</v>
      </c>
      <c r="BC63" s="642">
        <f t="shared" si="73"/>
        <v>346567259</v>
      </c>
      <c r="BD63" s="642">
        <f t="shared" si="73"/>
        <v>346567259</v>
      </c>
      <c r="BE63" s="642">
        <f t="shared" si="73"/>
        <v>346567259</v>
      </c>
      <c r="BF63" s="642">
        <f t="shared" si="73"/>
        <v>346567259</v>
      </c>
      <c r="BG63" s="642">
        <f t="shared" si="73"/>
        <v>346567259</v>
      </c>
      <c r="BH63" s="642">
        <f t="shared" si="73"/>
        <v>346567259</v>
      </c>
      <c r="BI63" s="642">
        <f t="shared" si="73"/>
        <v>346567259</v>
      </c>
      <c r="BJ63" s="642">
        <f t="shared" si="73"/>
        <v>346567259</v>
      </c>
      <c r="BK63" s="642">
        <f t="shared" si="73"/>
        <v>346567259</v>
      </c>
      <c r="BL63" s="642">
        <f t="shared" si="73"/>
        <v>346567259</v>
      </c>
      <c r="BM63" s="642">
        <f t="shared" si="73"/>
        <v>346567259</v>
      </c>
      <c r="BN63" s="642">
        <f t="shared" si="73"/>
        <v>346567259</v>
      </c>
      <c r="BO63" s="642">
        <f t="shared" si="73"/>
        <v>346567259</v>
      </c>
      <c r="BP63" s="642">
        <f t="shared" si="73"/>
        <v>346567259</v>
      </c>
      <c r="BQ63" s="642">
        <f t="shared" si="73"/>
        <v>346567259</v>
      </c>
      <c r="BR63" s="642">
        <f t="shared" si="73"/>
        <v>346567259</v>
      </c>
      <c r="BS63" s="642">
        <f t="shared" ref="BS63:CL63" si="74">BS45</f>
        <v>346567259</v>
      </c>
      <c r="BT63" s="642">
        <f t="shared" si="74"/>
        <v>346567259</v>
      </c>
      <c r="BU63" s="642">
        <f t="shared" si="74"/>
        <v>346567259</v>
      </c>
      <c r="BV63" s="642">
        <f t="shared" si="74"/>
        <v>346567259</v>
      </c>
      <c r="BW63" s="642">
        <f t="shared" si="74"/>
        <v>346567259</v>
      </c>
      <c r="BX63" s="642">
        <f t="shared" si="74"/>
        <v>346567259</v>
      </c>
      <c r="BY63" s="642">
        <f t="shared" si="74"/>
        <v>346567259</v>
      </c>
      <c r="BZ63" s="642">
        <f t="shared" si="74"/>
        <v>346567259</v>
      </c>
      <c r="CA63" s="642">
        <f t="shared" si="74"/>
        <v>346567259</v>
      </c>
      <c r="CB63" s="642">
        <f t="shared" si="74"/>
        <v>346567259</v>
      </c>
      <c r="CC63" s="642">
        <f t="shared" si="74"/>
        <v>346567259</v>
      </c>
      <c r="CD63" s="642">
        <f t="shared" si="74"/>
        <v>346567259</v>
      </c>
      <c r="CE63" s="642">
        <f t="shared" si="74"/>
        <v>346567259</v>
      </c>
      <c r="CF63" s="642">
        <f t="shared" si="74"/>
        <v>346567259</v>
      </c>
      <c r="CG63" s="642">
        <f t="shared" si="74"/>
        <v>346567259</v>
      </c>
      <c r="CH63" s="642">
        <f t="shared" si="74"/>
        <v>346567259</v>
      </c>
      <c r="CI63" s="642">
        <f t="shared" si="74"/>
        <v>346567259</v>
      </c>
      <c r="CJ63" s="642">
        <f t="shared" si="74"/>
        <v>346567259</v>
      </c>
      <c r="CK63" s="642">
        <f t="shared" si="74"/>
        <v>346567259</v>
      </c>
      <c r="CL63" s="642">
        <f t="shared" si="74"/>
        <v>346567259</v>
      </c>
      <c r="CM63" s="642">
        <f t="shared" si="70"/>
        <v>346567259</v>
      </c>
      <c r="CN63" s="245"/>
      <c r="CO63" s="245"/>
      <c r="CP63" s="245"/>
      <c r="CQ63" s="245"/>
      <c r="CR63" s="245"/>
      <c r="CS63" s="245"/>
      <c r="CT63" s="245"/>
      <c r="CU63" s="245"/>
      <c r="CV63" s="245"/>
      <c r="CW63" s="245"/>
      <c r="CX63" s="245"/>
      <c r="CY63" s="245"/>
      <c r="CZ63" s="245"/>
      <c r="DA63" s="245"/>
      <c r="DB63" s="245"/>
      <c r="DC63" s="245"/>
      <c r="DD63" s="245"/>
      <c r="DE63" s="245"/>
      <c r="DF63" s="245"/>
      <c r="DG63" s="245"/>
      <c r="DH63" s="245"/>
      <c r="DI63" s="245"/>
      <c r="DJ63" s="245"/>
      <c r="DK63" s="245"/>
      <c r="DL63" s="245"/>
      <c r="DM63" s="245"/>
      <c r="DN63" s="245"/>
      <c r="DO63" s="245"/>
      <c r="DP63" s="245"/>
      <c r="DQ63" s="245"/>
      <c r="DR63" s="245"/>
      <c r="DS63" s="245"/>
      <c r="DT63" s="245"/>
      <c r="DU63" s="245"/>
      <c r="DV63" s="245"/>
      <c r="DW63" s="245"/>
      <c r="DX63" s="245"/>
      <c r="DY63" s="245"/>
      <c r="DZ63" s="245"/>
      <c r="EA63" s="245"/>
      <c r="EB63" s="245"/>
      <c r="EC63" s="245"/>
      <c r="ED63" s="245"/>
      <c r="EE63" s="245"/>
      <c r="EF63" s="245"/>
      <c r="EG63" s="245"/>
      <c r="EH63" s="245"/>
      <c r="EI63" s="245"/>
      <c r="EJ63" s="245"/>
      <c r="EK63" s="245"/>
      <c r="EL63" s="245"/>
      <c r="EM63" s="245"/>
      <c r="EN63" s="245"/>
      <c r="EO63" s="245"/>
      <c r="EP63" s="245"/>
      <c r="EQ63" s="245"/>
      <c r="ER63" s="245"/>
      <c r="ES63" s="245"/>
      <c r="ET63" s="245"/>
      <c r="EU63" s="245"/>
      <c r="EV63" s="245"/>
      <c r="EW63" s="245"/>
      <c r="EX63" s="245"/>
      <c r="EY63" s="245"/>
      <c r="EZ63" s="245"/>
      <c r="FA63" s="245"/>
      <c r="FB63" s="245"/>
      <c r="FC63" s="245"/>
      <c r="FD63" s="245"/>
      <c r="FE63" s="245"/>
      <c r="FF63" s="245"/>
      <c r="FG63" s="245"/>
      <c r="FH63" s="245"/>
      <c r="FI63" s="245"/>
      <c r="FJ63" s="245"/>
      <c r="FK63" s="245"/>
      <c r="FL63" s="245"/>
      <c r="FM63" s="245"/>
      <c r="FN63" s="245"/>
      <c r="FO63" s="245"/>
      <c r="FP63" s="245"/>
      <c r="FQ63" s="245"/>
      <c r="FR63" s="245"/>
      <c r="FS63" s="245"/>
      <c r="FT63" s="245"/>
      <c r="FU63" s="245"/>
      <c r="FV63" s="245"/>
    </row>
    <row r="64" spans="1:178">
      <c r="A64" s="1023"/>
      <c r="B64" s="1023"/>
      <c r="C64" s="1023"/>
      <c r="D64" s="1023"/>
      <c r="E64" s="1024"/>
      <c r="F64" s="641" t="s">
        <v>188</v>
      </c>
      <c r="G64" s="778">
        <f t="shared" ref="G64:BR64" si="75">G44</f>
        <v>877099636</v>
      </c>
      <c r="H64" s="778">
        <f t="shared" si="75"/>
        <v>877099636</v>
      </c>
      <c r="I64" s="778">
        <f t="shared" si="75"/>
        <v>877099636</v>
      </c>
      <c r="J64" s="778">
        <f t="shared" si="75"/>
        <v>877099636</v>
      </c>
      <c r="K64" s="778">
        <f t="shared" si="75"/>
        <v>877099636</v>
      </c>
      <c r="L64" s="778">
        <f t="shared" si="75"/>
        <v>877099636</v>
      </c>
      <c r="M64" s="778">
        <f t="shared" si="75"/>
        <v>877099636</v>
      </c>
      <c r="N64" s="778">
        <f t="shared" si="75"/>
        <v>877099636</v>
      </c>
      <c r="O64" s="778">
        <f t="shared" si="75"/>
        <v>877099636</v>
      </c>
      <c r="P64" s="778">
        <f t="shared" si="75"/>
        <v>877099636</v>
      </c>
      <c r="Q64" s="778">
        <f t="shared" si="75"/>
        <v>877099636</v>
      </c>
      <c r="R64" s="778">
        <f t="shared" si="75"/>
        <v>877099636</v>
      </c>
      <c r="S64" s="778">
        <f t="shared" si="75"/>
        <v>877099636</v>
      </c>
      <c r="T64" s="778">
        <f t="shared" si="75"/>
        <v>877099636</v>
      </c>
      <c r="U64" s="778">
        <f t="shared" si="75"/>
        <v>877099636</v>
      </c>
      <c r="V64" s="778">
        <f t="shared" si="75"/>
        <v>877099636</v>
      </c>
      <c r="W64" s="778">
        <f t="shared" si="75"/>
        <v>877099636</v>
      </c>
      <c r="X64" s="778">
        <f t="shared" si="75"/>
        <v>877099636</v>
      </c>
      <c r="Y64" s="778">
        <f t="shared" si="75"/>
        <v>877099636</v>
      </c>
      <c r="Z64" s="778">
        <f t="shared" si="75"/>
        <v>877099636</v>
      </c>
      <c r="AA64" s="778">
        <f t="shared" si="75"/>
        <v>877099636</v>
      </c>
      <c r="AB64" s="778">
        <f t="shared" si="75"/>
        <v>877099636</v>
      </c>
      <c r="AC64" s="778">
        <f t="shared" si="75"/>
        <v>877099636</v>
      </c>
      <c r="AD64" s="778">
        <f t="shared" si="75"/>
        <v>877099636</v>
      </c>
      <c r="AE64" s="778">
        <f t="shared" si="75"/>
        <v>877099636</v>
      </c>
      <c r="AF64" s="778">
        <f t="shared" si="75"/>
        <v>877099636</v>
      </c>
      <c r="AG64" s="778">
        <f t="shared" si="75"/>
        <v>877099636</v>
      </c>
      <c r="AH64" s="778">
        <f t="shared" si="75"/>
        <v>877099636</v>
      </c>
      <c r="AI64" s="778">
        <f t="shared" si="75"/>
        <v>877099636</v>
      </c>
      <c r="AJ64" s="778">
        <f t="shared" si="75"/>
        <v>877099636</v>
      </c>
      <c r="AK64" s="778">
        <f t="shared" si="75"/>
        <v>877099636</v>
      </c>
      <c r="AL64" s="778">
        <f t="shared" si="75"/>
        <v>877099636</v>
      </c>
      <c r="AM64" s="778">
        <f t="shared" si="75"/>
        <v>877099636</v>
      </c>
      <c r="AN64" s="778">
        <f t="shared" si="75"/>
        <v>877099636</v>
      </c>
      <c r="AO64" s="778">
        <f t="shared" si="75"/>
        <v>877099636</v>
      </c>
      <c r="AP64" s="778">
        <f t="shared" si="75"/>
        <v>877099636</v>
      </c>
      <c r="AQ64" s="778">
        <f t="shared" si="75"/>
        <v>877099636</v>
      </c>
      <c r="AR64" s="778">
        <f t="shared" si="75"/>
        <v>877099636</v>
      </c>
      <c r="AS64" s="778">
        <f t="shared" si="75"/>
        <v>877099636</v>
      </c>
      <c r="AT64" s="778">
        <f t="shared" si="75"/>
        <v>877099636</v>
      </c>
      <c r="AU64" s="642">
        <f t="shared" si="75"/>
        <v>877099636</v>
      </c>
      <c r="AV64" s="642">
        <f t="shared" si="75"/>
        <v>877099636</v>
      </c>
      <c r="AW64" s="642">
        <f t="shared" si="75"/>
        <v>877099636</v>
      </c>
      <c r="AX64" s="642">
        <f t="shared" si="75"/>
        <v>877099636</v>
      </c>
      <c r="AY64" s="642">
        <f t="shared" si="75"/>
        <v>877099636</v>
      </c>
      <c r="AZ64" s="642">
        <f t="shared" si="75"/>
        <v>877099636</v>
      </c>
      <c r="BA64" s="642">
        <f t="shared" si="75"/>
        <v>877099636</v>
      </c>
      <c r="BB64" s="642">
        <f t="shared" si="75"/>
        <v>877099636</v>
      </c>
      <c r="BC64" s="642">
        <f t="shared" si="75"/>
        <v>877099636</v>
      </c>
      <c r="BD64" s="642">
        <f t="shared" si="75"/>
        <v>877099636</v>
      </c>
      <c r="BE64" s="642">
        <f t="shared" si="75"/>
        <v>877099636</v>
      </c>
      <c r="BF64" s="642">
        <f t="shared" si="75"/>
        <v>877099636</v>
      </c>
      <c r="BG64" s="642">
        <f t="shared" si="75"/>
        <v>877099636</v>
      </c>
      <c r="BH64" s="642">
        <f t="shared" si="75"/>
        <v>877099636</v>
      </c>
      <c r="BI64" s="642">
        <f t="shared" si="75"/>
        <v>877099636</v>
      </c>
      <c r="BJ64" s="642">
        <f t="shared" si="75"/>
        <v>877099636</v>
      </c>
      <c r="BK64" s="642">
        <f t="shared" si="75"/>
        <v>877099636</v>
      </c>
      <c r="BL64" s="642">
        <f t="shared" si="75"/>
        <v>877099636</v>
      </c>
      <c r="BM64" s="642">
        <f t="shared" si="75"/>
        <v>877099636</v>
      </c>
      <c r="BN64" s="642">
        <f t="shared" si="75"/>
        <v>877099636</v>
      </c>
      <c r="BO64" s="642">
        <f t="shared" si="75"/>
        <v>877099636</v>
      </c>
      <c r="BP64" s="642">
        <f t="shared" si="75"/>
        <v>877099636</v>
      </c>
      <c r="BQ64" s="642">
        <f t="shared" si="75"/>
        <v>877099636</v>
      </c>
      <c r="BR64" s="642">
        <f t="shared" si="75"/>
        <v>877099636</v>
      </c>
      <c r="BS64" s="642">
        <f t="shared" ref="BS64:CL64" si="76">BS44</f>
        <v>877099636</v>
      </c>
      <c r="BT64" s="642">
        <f t="shared" si="76"/>
        <v>877099636</v>
      </c>
      <c r="BU64" s="642">
        <f t="shared" si="76"/>
        <v>877099636</v>
      </c>
      <c r="BV64" s="642">
        <f t="shared" si="76"/>
        <v>877099636</v>
      </c>
      <c r="BW64" s="642">
        <f t="shared" si="76"/>
        <v>877099636</v>
      </c>
      <c r="BX64" s="642">
        <f t="shared" si="76"/>
        <v>877099636</v>
      </c>
      <c r="BY64" s="642">
        <f t="shared" si="76"/>
        <v>877099636</v>
      </c>
      <c r="BZ64" s="642">
        <f t="shared" si="76"/>
        <v>877099636</v>
      </c>
      <c r="CA64" s="642">
        <f t="shared" si="76"/>
        <v>877099636</v>
      </c>
      <c r="CB64" s="642">
        <f t="shared" si="76"/>
        <v>877099636</v>
      </c>
      <c r="CC64" s="642">
        <f t="shared" si="76"/>
        <v>877099636</v>
      </c>
      <c r="CD64" s="642">
        <f t="shared" si="76"/>
        <v>877099636</v>
      </c>
      <c r="CE64" s="642">
        <f t="shared" si="76"/>
        <v>877099636</v>
      </c>
      <c r="CF64" s="642">
        <f t="shared" si="76"/>
        <v>877099636</v>
      </c>
      <c r="CG64" s="642">
        <f t="shared" si="76"/>
        <v>877099636</v>
      </c>
      <c r="CH64" s="642">
        <f t="shared" si="76"/>
        <v>877099636</v>
      </c>
      <c r="CI64" s="642">
        <f t="shared" si="76"/>
        <v>877099636</v>
      </c>
      <c r="CJ64" s="642">
        <f t="shared" si="76"/>
        <v>877099636</v>
      </c>
      <c r="CK64" s="642">
        <f t="shared" si="76"/>
        <v>877099636</v>
      </c>
      <c r="CL64" s="642">
        <f t="shared" si="76"/>
        <v>877099636</v>
      </c>
      <c r="CM64" s="642">
        <f t="shared" si="70"/>
        <v>877099636</v>
      </c>
      <c r="CN64" s="245"/>
      <c r="CO64" s="245"/>
      <c r="CP64" s="245"/>
      <c r="CQ64" s="245"/>
      <c r="CR64" s="245"/>
      <c r="CS64" s="245"/>
      <c r="CT64" s="245"/>
      <c r="CU64" s="245"/>
      <c r="CV64" s="245"/>
      <c r="CW64" s="245"/>
      <c r="CX64" s="245"/>
      <c r="CY64" s="245"/>
      <c r="CZ64" s="245"/>
      <c r="DA64" s="245"/>
      <c r="DB64" s="245"/>
      <c r="DC64" s="245"/>
      <c r="DD64" s="245"/>
      <c r="DE64" s="245"/>
      <c r="DF64" s="245"/>
      <c r="DG64" s="245"/>
      <c r="DH64" s="245"/>
      <c r="DI64" s="245"/>
      <c r="DJ64" s="245"/>
      <c r="DK64" s="245"/>
      <c r="DL64" s="245"/>
      <c r="DM64" s="245"/>
      <c r="DN64" s="245"/>
      <c r="DO64" s="245"/>
      <c r="DP64" s="245"/>
      <c r="DQ64" s="245"/>
      <c r="DR64" s="245"/>
      <c r="DS64" s="245"/>
      <c r="DT64" s="245"/>
      <c r="DU64" s="245"/>
      <c r="DV64" s="245"/>
      <c r="DW64" s="245"/>
      <c r="DX64" s="245"/>
      <c r="DY64" s="245"/>
      <c r="DZ64" s="245"/>
      <c r="EA64" s="245"/>
      <c r="EB64" s="245"/>
      <c r="EC64" s="245"/>
      <c r="ED64" s="245"/>
      <c r="EE64" s="245"/>
      <c r="EF64" s="245"/>
      <c r="EG64" s="245"/>
      <c r="EH64" s="245"/>
      <c r="EI64" s="245"/>
      <c r="EJ64" s="245"/>
      <c r="EK64" s="245"/>
      <c r="EL64" s="245"/>
      <c r="EM64" s="245"/>
      <c r="EN64" s="245"/>
      <c r="EO64" s="245"/>
      <c r="EP64" s="245"/>
      <c r="EQ64" s="245"/>
      <c r="ER64" s="245"/>
      <c r="ES64" s="245"/>
      <c r="ET64" s="245"/>
      <c r="EU64" s="245"/>
      <c r="EV64" s="245"/>
      <c r="EW64" s="245"/>
      <c r="EX64" s="245"/>
      <c r="EY64" s="245"/>
      <c r="EZ64" s="245"/>
      <c r="FA64" s="245"/>
      <c r="FB64" s="245"/>
      <c r="FC64" s="245"/>
      <c r="FD64" s="245"/>
      <c r="FE64" s="245"/>
      <c r="FF64" s="245"/>
      <c r="FG64" s="245"/>
      <c r="FH64" s="245"/>
      <c r="FI64" s="245"/>
      <c r="FJ64" s="245"/>
      <c r="FK64" s="245"/>
      <c r="FL64" s="245"/>
      <c r="FM64" s="245"/>
      <c r="FN64" s="245"/>
      <c r="FO64" s="245"/>
      <c r="FP64" s="245"/>
      <c r="FQ64" s="245"/>
      <c r="FR64" s="245"/>
      <c r="FS64" s="245"/>
      <c r="FT64" s="245"/>
      <c r="FU64" s="245"/>
      <c r="FV64" s="245"/>
    </row>
    <row r="65" spans="1:178">
      <c r="A65" s="1023"/>
      <c r="B65" s="1023"/>
      <c r="C65" s="1023"/>
      <c r="D65" s="1023"/>
      <c r="E65" s="1024"/>
      <c r="F65" s="641" t="s">
        <v>189</v>
      </c>
      <c r="G65" s="778">
        <f t="shared" ref="G65:AS65" si="77">SUM(G60:G64)</f>
        <v>1819900220.4923377</v>
      </c>
      <c r="H65" s="778">
        <f t="shared" si="77"/>
        <v>1819900220.4923377</v>
      </c>
      <c r="I65" s="778">
        <f t="shared" si="77"/>
        <v>1819900220.4923377</v>
      </c>
      <c r="J65" s="778">
        <f t="shared" si="77"/>
        <v>1819902080.0675378</v>
      </c>
      <c r="K65" s="778">
        <f t="shared" si="77"/>
        <v>1820333213.7225378</v>
      </c>
      <c r="L65" s="778">
        <f t="shared" si="77"/>
        <v>1820333833.5809379</v>
      </c>
      <c r="M65" s="778">
        <f t="shared" si="77"/>
        <v>1820333833.5809379</v>
      </c>
      <c r="N65" s="778">
        <f t="shared" si="77"/>
        <v>1821544750.9954257</v>
      </c>
      <c r="O65" s="778">
        <f t="shared" si="77"/>
        <v>1820334453.4393377</v>
      </c>
      <c r="P65" s="778">
        <f t="shared" si="77"/>
        <v>1821547075.4644258</v>
      </c>
      <c r="Q65" s="778">
        <f t="shared" si="77"/>
        <v>1822757373.0205159</v>
      </c>
      <c r="R65" s="778">
        <f t="shared" si="77"/>
        <v>1823967670.5766058</v>
      </c>
      <c r="S65" s="778">
        <f t="shared" si="77"/>
        <v>1825178587.9910936</v>
      </c>
      <c r="T65" s="778">
        <f t="shared" si="77"/>
        <v>1826390973.3125196</v>
      </c>
      <c r="U65" s="778">
        <f t="shared" si="77"/>
        <v>1827601495.7815971</v>
      </c>
      <c r="V65" s="778">
        <f t="shared" si="77"/>
        <v>1828911174.5694394</v>
      </c>
      <c r="W65" s="778">
        <f t="shared" si="77"/>
        <v>1830085543.7178679</v>
      </c>
      <c r="X65" s="778">
        <f t="shared" si="77"/>
        <v>1831259912.8662949</v>
      </c>
      <c r="Y65" s="778">
        <f t="shared" si="77"/>
        <v>1832434282.0147233</v>
      </c>
      <c r="Z65" s="778">
        <f t="shared" si="77"/>
        <v>1833608651.163152</v>
      </c>
      <c r="AA65" s="778">
        <f t="shared" si="77"/>
        <v>1834783020.3115788</v>
      </c>
      <c r="AB65" s="778">
        <f t="shared" si="77"/>
        <v>1835957389.4600072</v>
      </c>
      <c r="AC65" s="778">
        <f t="shared" si="77"/>
        <v>1837131758.6084361</v>
      </c>
      <c r="AD65" s="778">
        <f t="shared" si="77"/>
        <v>1838306127.7568626</v>
      </c>
      <c r="AE65" s="778">
        <f t="shared" si="77"/>
        <v>1839482133.6810904</v>
      </c>
      <c r="AF65" s="778">
        <f t="shared" si="77"/>
        <v>1840654866.0537181</v>
      </c>
      <c r="AG65" s="778">
        <f t="shared" si="77"/>
        <v>1841829647.3289704</v>
      </c>
      <c r="AH65" s="778">
        <f t="shared" si="77"/>
        <v>1843003604.3505754</v>
      </c>
      <c r="AI65" s="778">
        <f t="shared" si="77"/>
        <v>1844177973.499002</v>
      </c>
      <c r="AJ65" s="778">
        <f t="shared" si="77"/>
        <v>1845352342.6474307</v>
      </c>
      <c r="AK65" s="778">
        <f t="shared" si="77"/>
        <v>1846526711.7958593</v>
      </c>
      <c r="AL65" s="778">
        <f t="shared" si="77"/>
        <v>1847701080.9442861</v>
      </c>
      <c r="AM65" s="778">
        <f t="shared" si="77"/>
        <v>1848875450.0927148</v>
      </c>
      <c r="AN65" s="778">
        <f t="shared" si="77"/>
        <v>1850049819.2411416</v>
      </c>
      <c r="AO65" s="778">
        <f t="shared" si="77"/>
        <v>1851224188.3895702</v>
      </c>
      <c r="AP65" s="778">
        <f t="shared" si="77"/>
        <v>1852398557.5379987</v>
      </c>
      <c r="AQ65" s="778">
        <f t="shared" si="77"/>
        <v>1853572926.6864254</v>
      </c>
      <c r="AR65" s="778">
        <f t="shared" si="77"/>
        <v>1854747295.8348541</v>
      </c>
      <c r="AS65" s="778">
        <f t="shared" si="77"/>
        <v>1855921664.9832828</v>
      </c>
      <c r="AT65" s="778">
        <f>SUM(AT60:AT64)</f>
        <v>1723060660.6832256</v>
      </c>
      <c r="AU65" s="642">
        <f>SUM(AU60:AU64)</f>
        <v>1827857740.5577257</v>
      </c>
      <c r="AV65" s="642">
        <f t="shared" ref="AV65:CL65" si="78">SUM(AV60:AV64)</f>
        <v>1830968003.2928221</v>
      </c>
      <c r="AW65" s="642">
        <f t="shared" si="78"/>
        <v>1811028781.6272569</v>
      </c>
      <c r="AX65" s="642">
        <f t="shared" si="78"/>
        <v>1859946557.6300645</v>
      </c>
      <c r="AY65" s="642">
        <f t="shared" si="78"/>
        <v>1911584423.0974278</v>
      </c>
      <c r="AZ65" s="642">
        <f t="shared" si="78"/>
        <v>1926415761.266098</v>
      </c>
      <c r="BA65" s="642">
        <f t="shared" si="78"/>
        <v>1935861663.3170974</v>
      </c>
      <c r="BB65" s="642">
        <f t="shared" si="78"/>
        <v>1925321855.4930024</v>
      </c>
      <c r="BC65" s="642">
        <f t="shared" si="78"/>
        <v>1973862251.7999864</v>
      </c>
      <c r="BD65" s="642">
        <f t="shared" si="78"/>
        <v>1934872298.7484555</v>
      </c>
      <c r="BE65" s="642">
        <f t="shared" si="78"/>
        <v>1894494522.0124106</v>
      </c>
      <c r="BF65" s="642">
        <f t="shared" si="78"/>
        <v>1887662915.4111693</v>
      </c>
      <c r="BG65" s="642">
        <f t="shared" si="78"/>
        <v>1938293297.0025573</v>
      </c>
      <c r="BH65" s="642">
        <f t="shared" si="78"/>
        <v>1868467922.7480915</v>
      </c>
      <c r="BI65" s="642">
        <f t="shared" si="78"/>
        <v>1801385494.8010616</v>
      </c>
      <c r="BJ65" s="642">
        <f t="shared" si="78"/>
        <v>1789654063.1350255</v>
      </c>
      <c r="BK65" s="642">
        <f t="shared" si="78"/>
        <v>1820821982.4440255</v>
      </c>
      <c r="BL65" s="642">
        <f t="shared" si="78"/>
        <v>1867291272.3905256</v>
      </c>
      <c r="BM65" s="642">
        <f t="shared" si="78"/>
        <v>1819588021.4720256</v>
      </c>
      <c r="BN65" s="642">
        <f t="shared" si="78"/>
        <v>1803059563.6494255</v>
      </c>
      <c r="BO65" s="642">
        <f t="shared" si="78"/>
        <v>1902073541.7543256</v>
      </c>
      <c r="BP65" s="642">
        <f t="shared" si="78"/>
        <v>1891210733.6034257</v>
      </c>
      <c r="BQ65" s="642">
        <f t="shared" si="78"/>
        <v>1950838787.2144256</v>
      </c>
      <c r="BR65" s="642">
        <f t="shared" si="78"/>
        <v>1856305267.3826256</v>
      </c>
      <c r="BS65" s="642">
        <f t="shared" si="78"/>
        <v>1832930650.6344256</v>
      </c>
      <c r="BT65" s="642">
        <f t="shared" si="78"/>
        <v>1681023258.6766257</v>
      </c>
      <c r="BU65" s="642">
        <f t="shared" si="78"/>
        <v>1769393947.0554256</v>
      </c>
      <c r="BV65" s="642">
        <f t="shared" si="78"/>
        <v>1747774459.3668256</v>
      </c>
      <c r="BW65" s="642">
        <f t="shared" si="78"/>
        <v>1625074197.4964256</v>
      </c>
      <c r="BX65" s="642">
        <f t="shared" si="78"/>
        <v>1610479742.1574256</v>
      </c>
      <c r="BY65" s="642">
        <f t="shared" si="78"/>
        <v>1662487123.7720256</v>
      </c>
      <c r="BZ65" s="642">
        <f t="shared" si="78"/>
        <v>1725416797.8061256</v>
      </c>
      <c r="CA65" s="642">
        <f t="shared" si="78"/>
        <v>1746736340.4425256</v>
      </c>
      <c r="CB65" s="642">
        <f t="shared" si="78"/>
        <v>1792261641.3903255</v>
      </c>
      <c r="CC65" s="642">
        <f t="shared" si="78"/>
        <v>1832113655.1254256</v>
      </c>
      <c r="CD65" s="642">
        <f t="shared" si="78"/>
        <v>1911647642.1538255</v>
      </c>
      <c r="CE65" s="642">
        <f t="shared" si="78"/>
        <v>2019500867.4561257</v>
      </c>
      <c r="CF65" s="642">
        <f t="shared" si="78"/>
        <v>1938244260.7274256</v>
      </c>
      <c r="CG65" s="642">
        <f t="shared" si="78"/>
        <v>1834620760.9754257</v>
      </c>
      <c r="CH65" s="642">
        <f t="shared" si="78"/>
        <v>1829238519.4193256</v>
      </c>
      <c r="CI65" s="642">
        <f t="shared" si="78"/>
        <v>1877149035.4903257</v>
      </c>
      <c r="CJ65" s="642">
        <f t="shared" si="78"/>
        <v>1950541830.7652256</v>
      </c>
      <c r="CK65" s="642">
        <f t="shared" si="78"/>
        <v>2049942987.9232256</v>
      </c>
      <c r="CL65" s="642">
        <f t="shared" si="78"/>
        <v>2109535908.8456256</v>
      </c>
      <c r="CM65" s="642">
        <f t="shared" si="70"/>
        <v>1843404323.0566678</v>
      </c>
      <c r="CN65" s="245"/>
      <c r="CO65" s="245"/>
      <c r="CP65" s="245"/>
      <c r="CQ65" s="245"/>
      <c r="CR65" s="245"/>
      <c r="CS65" s="245"/>
      <c r="CT65" s="245"/>
      <c r="CU65" s="245"/>
      <c r="CV65" s="245"/>
      <c r="CW65" s="245"/>
      <c r="CX65" s="245"/>
      <c r="CY65" s="245"/>
      <c r="CZ65" s="245"/>
      <c r="DA65" s="245"/>
      <c r="DB65" s="245"/>
      <c r="DC65" s="245"/>
      <c r="DD65" s="245"/>
      <c r="DE65" s="245"/>
      <c r="DF65" s="245"/>
      <c r="DG65" s="245"/>
      <c r="DH65" s="245"/>
      <c r="DI65" s="245"/>
      <c r="DJ65" s="245"/>
      <c r="DK65" s="245"/>
      <c r="DL65" s="245"/>
      <c r="DM65" s="245"/>
      <c r="DN65" s="245"/>
      <c r="DO65" s="245"/>
      <c r="DP65" s="245"/>
      <c r="DQ65" s="245"/>
      <c r="DR65" s="245"/>
      <c r="DS65" s="245"/>
      <c r="DT65" s="245"/>
      <c r="DU65" s="245"/>
      <c r="DV65" s="245"/>
      <c r="DW65" s="245"/>
      <c r="DX65" s="245"/>
      <c r="DY65" s="245"/>
      <c r="DZ65" s="245"/>
      <c r="EA65" s="245"/>
      <c r="EB65" s="245"/>
      <c r="EC65" s="245"/>
      <c r="ED65" s="245"/>
      <c r="EE65" s="245"/>
      <c r="EF65" s="245"/>
      <c r="EG65" s="245"/>
      <c r="EH65" s="245"/>
      <c r="EI65" s="245"/>
      <c r="EJ65" s="245"/>
      <c r="EK65" s="245"/>
      <c r="EL65" s="245"/>
      <c r="EM65" s="245"/>
      <c r="EN65" s="245"/>
      <c r="EO65" s="245"/>
      <c r="EP65" s="245"/>
      <c r="EQ65" s="245"/>
      <c r="ER65" s="245"/>
      <c r="ES65" s="245"/>
      <c r="ET65" s="245"/>
      <c r="EU65" s="245"/>
      <c r="EV65" s="245"/>
      <c r="EW65" s="245"/>
      <c r="EX65" s="245"/>
      <c r="EY65" s="245"/>
      <c r="EZ65" s="245"/>
      <c r="FA65" s="245"/>
      <c r="FB65" s="245"/>
      <c r="FC65" s="245"/>
      <c r="FD65" s="245"/>
      <c r="FE65" s="245"/>
      <c r="FF65" s="245"/>
      <c r="FG65" s="245"/>
      <c r="FH65" s="245"/>
      <c r="FI65" s="245"/>
      <c r="FJ65" s="245"/>
      <c r="FK65" s="245"/>
      <c r="FL65" s="245"/>
      <c r="FM65" s="245"/>
      <c r="FN65" s="245"/>
      <c r="FO65" s="245"/>
      <c r="FP65" s="245"/>
      <c r="FQ65" s="245"/>
      <c r="FR65" s="245"/>
      <c r="FS65" s="245"/>
      <c r="FT65" s="245"/>
      <c r="FU65" s="245"/>
      <c r="FV65" s="245"/>
    </row>
    <row r="66" spans="1:178">
      <c r="A66" s="1023"/>
      <c r="B66" s="1023"/>
      <c r="C66" s="1023"/>
      <c r="D66" s="1023"/>
      <c r="E66" s="1024"/>
      <c r="F66" s="641" t="s">
        <v>190</v>
      </c>
      <c r="G66" s="778">
        <f t="shared" ref="G66:BR66" si="79">(0.101511101973684*G17*0.85*G3/0.685)+(0.20964*G16*0.5/0.82)</f>
        <v>281435707.82219321</v>
      </c>
      <c r="H66" s="778">
        <f t="shared" si="79"/>
        <v>234787425.00694209</v>
      </c>
      <c r="I66" s="778">
        <f t="shared" si="79"/>
        <v>215291290.440056</v>
      </c>
      <c r="J66" s="778">
        <f t="shared" si="79"/>
        <v>164713663.64232892</v>
      </c>
      <c r="K66" s="778">
        <f t="shared" si="79"/>
        <v>174211050.94885901</v>
      </c>
      <c r="L66" s="778">
        <f t="shared" si="79"/>
        <v>194961044.36143717</v>
      </c>
      <c r="M66" s="778">
        <f t="shared" si="79"/>
        <v>180059275.66355336</v>
      </c>
      <c r="N66" s="778">
        <f t="shared" si="79"/>
        <v>185015964.58339983</v>
      </c>
      <c r="O66" s="778">
        <f t="shared" si="79"/>
        <v>161292609.62729824</v>
      </c>
      <c r="P66" s="778">
        <f t="shared" si="79"/>
        <v>156856200.98756796</v>
      </c>
      <c r="Q66" s="778">
        <f t="shared" si="79"/>
        <v>148238439.31611639</v>
      </c>
      <c r="R66" s="778">
        <f t="shared" si="79"/>
        <v>130113312.89249022</v>
      </c>
      <c r="S66" s="778">
        <f t="shared" si="79"/>
        <v>146143127.70143068</v>
      </c>
      <c r="T66" s="778">
        <f t="shared" si="79"/>
        <v>163056230.47809884</v>
      </c>
      <c r="U66" s="778">
        <f t="shared" si="79"/>
        <v>190957782.18812796</v>
      </c>
      <c r="V66" s="778">
        <f t="shared" si="79"/>
        <v>144870512.12981129</v>
      </c>
      <c r="W66" s="778">
        <f t="shared" si="79"/>
        <v>120982770.00149171</v>
      </c>
      <c r="X66" s="778">
        <f t="shared" si="79"/>
        <v>120280006.43458201</v>
      </c>
      <c r="Y66" s="778">
        <f t="shared" si="79"/>
        <v>132481972.08304933</v>
      </c>
      <c r="Z66" s="778">
        <f t="shared" si="79"/>
        <v>135423628.42949432</v>
      </c>
      <c r="AA66" s="778">
        <f t="shared" si="79"/>
        <v>138017012.56578937</v>
      </c>
      <c r="AB66" s="778">
        <f t="shared" si="79"/>
        <v>122979116.063244</v>
      </c>
      <c r="AC66" s="778">
        <f t="shared" si="79"/>
        <v>118737658.07534657</v>
      </c>
      <c r="AD66" s="778">
        <f t="shared" si="79"/>
        <v>122556214.09377621</v>
      </c>
      <c r="AE66" s="778">
        <f t="shared" si="79"/>
        <v>141176339.04357803</v>
      </c>
      <c r="AF66" s="778">
        <f t="shared" si="79"/>
        <v>164578987.73633161</v>
      </c>
      <c r="AG66" s="778">
        <f t="shared" si="79"/>
        <v>160231804.25606728</v>
      </c>
      <c r="AH66" s="778">
        <f t="shared" si="79"/>
        <v>184169299.55726543</v>
      </c>
      <c r="AI66" s="778">
        <f t="shared" si="79"/>
        <v>212205212.4743351</v>
      </c>
      <c r="AJ66" s="778">
        <f t="shared" si="79"/>
        <v>196246882.27353635</v>
      </c>
      <c r="AK66" s="778">
        <f t="shared" si="79"/>
        <v>172284510.38589892</v>
      </c>
      <c r="AL66" s="778">
        <f t="shared" si="79"/>
        <v>154261423.51063985</v>
      </c>
      <c r="AM66" s="778">
        <f t="shared" si="79"/>
        <v>154323614.97673804</v>
      </c>
      <c r="AN66" s="778">
        <f t="shared" si="79"/>
        <v>138091642.32510719</v>
      </c>
      <c r="AO66" s="778">
        <f t="shared" si="79"/>
        <v>167166152.72601685</v>
      </c>
      <c r="AP66" s="778">
        <f t="shared" si="79"/>
        <v>192558928.33391294</v>
      </c>
      <c r="AQ66" s="778">
        <f t="shared" si="79"/>
        <v>232448534.68929997</v>
      </c>
      <c r="AR66" s="778">
        <f t="shared" si="79"/>
        <v>231832839.1749278</v>
      </c>
      <c r="AS66" s="778">
        <f t="shared" si="79"/>
        <v>235359095.3026959</v>
      </c>
      <c r="AT66" s="778">
        <f t="shared" si="79"/>
        <v>233508585.29463226</v>
      </c>
      <c r="AU66" s="642">
        <f t="shared" si="79"/>
        <v>210040378.29352093</v>
      </c>
      <c r="AV66" s="642">
        <f t="shared" si="79"/>
        <v>194114336.73370069</v>
      </c>
      <c r="AW66" s="642">
        <f t="shared" si="79"/>
        <v>193811497.74299863</v>
      </c>
      <c r="AX66" s="642">
        <f t="shared" si="79"/>
        <v>210047855.55348936</v>
      </c>
      <c r="AY66" s="642">
        <f t="shared" si="79"/>
        <v>236102498.70612854</v>
      </c>
      <c r="AZ66" s="642">
        <f t="shared" si="79"/>
        <v>237109254.30247012</v>
      </c>
      <c r="BA66" s="642">
        <f t="shared" si="79"/>
        <v>250866174.02416143</v>
      </c>
      <c r="BB66" s="642">
        <f t="shared" si="79"/>
        <v>269696971.02460462</v>
      </c>
      <c r="BC66" s="642">
        <f t="shared" si="79"/>
        <v>299831624.20078731</v>
      </c>
      <c r="BD66" s="642">
        <f t="shared" si="79"/>
        <v>241331657.43123114</v>
      </c>
      <c r="BE66" s="642">
        <f t="shared" si="79"/>
        <v>195931066.47148225</v>
      </c>
      <c r="BF66" s="642">
        <f t="shared" si="79"/>
        <v>189289579.02374715</v>
      </c>
      <c r="BG66" s="642">
        <f t="shared" si="79"/>
        <v>194905078.29219893</v>
      </c>
      <c r="BH66" s="642">
        <f t="shared" si="79"/>
        <v>211717410.57644424</v>
      </c>
      <c r="BI66" s="642">
        <f t="shared" si="79"/>
        <v>222481963.07468751</v>
      </c>
      <c r="BJ66" s="642">
        <f t="shared" si="79"/>
        <v>227834062.6115379</v>
      </c>
      <c r="BK66" s="642">
        <f t="shared" si="79"/>
        <v>185710025.21584097</v>
      </c>
      <c r="BL66" s="642">
        <f t="shared" si="79"/>
        <v>160489382.07000297</v>
      </c>
      <c r="BM66" s="642">
        <f t="shared" si="79"/>
        <v>163552609.64813861</v>
      </c>
      <c r="BN66" s="642">
        <f t="shared" si="79"/>
        <v>155386711.04060978</v>
      </c>
      <c r="BO66" s="642">
        <f t="shared" si="79"/>
        <v>185560709.02313861</v>
      </c>
      <c r="BP66" s="642">
        <f t="shared" si="79"/>
        <v>191070658.75987929</v>
      </c>
      <c r="BQ66" s="642">
        <f t="shared" si="79"/>
        <v>194835563.44952825</v>
      </c>
      <c r="BR66" s="642">
        <f t="shared" si="79"/>
        <v>250628793.66918865</v>
      </c>
      <c r="BS66" s="642">
        <f t="shared" ref="BS66:CL66" si="80">(0.101511101973684*BS17*0.85*BS3/0.685)+(0.20964*BS16*0.5/0.82)</f>
        <v>224642786.31046003</v>
      </c>
      <c r="BT66" s="642">
        <f t="shared" si="80"/>
        <v>198571107.47850579</v>
      </c>
      <c r="BU66" s="642">
        <f t="shared" si="80"/>
        <v>109027721.4902194</v>
      </c>
      <c r="BV66" s="642">
        <f t="shared" si="80"/>
        <v>160011938.16890919</v>
      </c>
      <c r="BW66" s="642">
        <f t="shared" si="80"/>
        <v>164924003.03266943</v>
      </c>
      <c r="BX66" s="642">
        <f t="shared" si="80"/>
        <v>167925451.14943621</v>
      </c>
      <c r="BY66" s="642">
        <f t="shared" si="80"/>
        <v>169543041.12815931</v>
      </c>
      <c r="BZ66" s="642">
        <f t="shared" si="80"/>
        <v>166866600.25112686</v>
      </c>
      <c r="CA66" s="642">
        <f t="shared" si="80"/>
        <v>171387267.49406376</v>
      </c>
      <c r="CB66" s="642">
        <f t="shared" si="80"/>
        <v>198643838.05695349</v>
      </c>
      <c r="CC66" s="642">
        <f t="shared" si="80"/>
        <v>206015836.11753744</v>
      </c>
      <c r="CD66" s="642">
        <f t="shared" si="80"/>
        <v>250224191.59243733</v>
      </c>
      <c r="CE66" s="642">
        <f t="shared" si="80"/>
        <v>273977355.76348162</v>
      </c>
      <c r="CF66" s="642">
        <f t="shared" si="80"/>
        <v>283182475.8731488</v>
      </c>
      <c r="CG66" s="642">
        <f t="shared" si="80"/>
        <v>259507654.2716687</v>
      </c>
      <c r="CH66" s="642">
        <f t="shared" si="80"/>
        <v>225883114.06086698</v>
      </c>
      <c r="CI66" s="642">
        <f t="shared" si="80"/>
        <v>242679566.07008663</v>
      </c>
      <c r="CJ66" s="642">
        <f t="shared" si="80"/>
        <v>287081616.86470199</v>
      </c>
      <c r="CK66" s="642">
        <f t="shared" si="80"/>
        <v>304205940.53168011</v>
      </c>
      <c r="CL66" s="642">
        <f t="shared" si="80"/>
        <v>303908123.83227217</v>
      </c>
      <c r="CM66" s="642">
        <f t="shared" si="70"/>
        <v>193981682.83423057</v>
      </c>
      <c r="CN66" s="245"/>
      <c r="CO66" s="245"/>
      <c r="CP66" s="245"/>
      <c r="CQ66" s="245"/>
      <c r="CR66" s="245"/>
      <c r="CS66" s="245"/>
      <c r="CT66" s="245"/>
      <c r="CU66" s="245"/>
      <c r="CV66" s="245"/>
      <c r="CW66" s="245"/>
      <c r="CX66" s="245"/>
      <c r="CY66" s="245"/>
      <c r="CZ66" s="245"/>
      <c r="DA66" s="245"/>
      <c r="DB66" s="245"/>
      <c r="DC66" s="245"/>
      <c r="DD66" s="245"/>
      <c r="DE66" s="245"/>
      <c r="DF66" s="245"/>
      <c r="DG66" s="245"/>
      <c r="DH66" s="245"/>
      <c r="DI66" s="245"/>
      <c r="DJ66" s="245"/>
      <c r="DK66" s="245"/>
      <c r="DL66" s="245"/>
      <c r="DM66" s="245"/>
      <c r="DN66" s="245"/>
      <c r="DO66" s="245"/>
      <c r="DP66" s="245"/>
      <c r="DQ66" s="245"/>
      <c r="DR66" s="245"/>
      <c r="DS66" s="245"/>
      <c r="DT66" s="245"/>
      <c r="DU66" s="245"/>
      <c r="DV66" s="245"/>
      <c r="DW66" s="245"/>
      <c r="DX66" s="245"/>
      <c r="DY66" s="245"/>
      <c r="DZ66" s="245"/>
      <c r="EA66" s="245"/>
      <c r="EB66" s="245"/>
      <c r="EC66" s="245"/>
      <c r="ED66" s="245"/>
      <c r="EE66" s="245"/>
      <c r="EF66" s="245"/>
      <c r="EG66" s="245"/>
      <c r="EH66" s="245"/>
      <c r="EI66" s="245"/>
      <c r="EJ66" s="245"/>
      <c r="EK66" s="245"/>
      <c r="EL66" s="245"/>
      <c r="EM66" s="245"/>
      <c r="EN66" s="245"/>
      <c r="EO66" s="245"/>
      <c r="EP66" s="245"/>
      <c r="EQ66" s="245"/>
      <c r="ER66" s="245"/>
      <c r="ES66" s="245"/>
      <c r="ET66" s="245"/>
      <c r="EU66" s="245"/>
      <c r="EV66" s="245"/>
      <c r="EW66" s="245"/>
      <c r="EX66" s="245"/>
      <c r="EY66" s="245"/>
      <c r="EZ66" s="245"/>
      <c r="FA66" s="245"/>
      <c r="FB66" s="245"/>
      <c r="FC66" s="245"/>
      <c r="FD66" s="245"/>
      <c r="FE66" s="245"/>
      <c r="FF66" s="245"/>
      <c r="FG66" s="245"/>
      <c r="FH66" s="245"/>
      <c r="FI66" s="245"/>
      <c r="FJ66" s="245"/>
      <c r="FK66" s="245"/>
      <c r="FL66" s="245"/>
      <c r="FM66" s="245"/>
      <c r="FN66" s="245"/>
      <c r="FO66" s="245"/>
      <c r="FP66" s="245"/>
      <c r="FQ66" s="245"/>
      <c r="FR66" s="245"/>
      <c r="FS66" s="245"/>
      <c r="FT66" s="245"/>
      <c r="FU66" s="245"/>
      <c r="FV66" s="245"/>
    </row>
    <row r="67" spans="1:178">
      <c r="A67" s="1023"/>
      <c r="B67" s="1023"/>
      <c r="C67" s="1023"/>
      <c r="D67" s="1023"/>
      <c r="E67" s="1024"/>
      <c r="F67" s="641" t="s">
        <v>191</v>
      </c>
      <c r="G67" s="778">
        <f t="shared" ref="G67:BR67" si="81">G46+G47+G48+G49+G65+G66</f>
        <v>15632254787.71928</v>
      </c>
      <c r="H67" s="778">
        <f t="shared" si="81"/>
        <v>14231796374.501863</v>
      </c>
      <c r="I67" s="778">
        <f t="shared" si="81"/>
        <v>12350751353.09581</v>
      </c>
      <c r="J67" s="778">
        <f t="shared" si="81"/>
        <v>10336830401.733805</v>
      </c>
      <c r="K67" s="778">
        <f t="shared" si="81"/>
        <v>11790166922.19618</v>
      </c>
      <c r="L67" s="778">
        <f t="shared" si="81"/>
        <v>11976466721.827301</v>
      </c>
      <c r="M67" s="778">
        <f t="shared" si="81"/>
        <v>12175802323.212032</v>
      </c>
      <c r="N67" s="778">
        <f t="shared" si="81"/>
        <v>12713996459.351019</v>
      </c>
      <c r="O67" s="778">
        <f t="shared" si="81"/>
        <v>12159011066.250017</v>
      </c>
      <c r="P67" s="778">
        <f t="shared" si="81"/>
        <v>11122424290.118898</v>
      </c>
      <c r="Q67" s="778">
        <f t="shared" si="81"/>
        <v>10359382668.194372</v>
      </c>
      <c r="R67" s="778">
        <f t="shared" si="81"/>
        <v>10492985443.645092</v>
      </c>
      <c r="S67" s="778">
        <f t="shared" si="81"/>
        <v>10867153453.22316</v>
      </c>
      <c r="T67" s="778">
        <f t="shared" si="81"/>
        <v>11169599439.753859</v>
      </c>
      <c r="U67" s="778">
        <f t="shared" si="81"/>
        <v>10909741014.078133</v>
      </c>
      <c r="V67" s="778">
        <f t="shared" si="81"/>
        <v>9326975555.0210114</v>
      </c>
      <c r="W67" s="778">
        <f t="shared" si="81"/>
        <v>8809416358.1830215</v>
      </c>
      <c r="X67" s="778">
        <f t="shared" si="81"/>
        <v>9347561614.1277485</v>
      </c>
      <c r="Y67" s="778">
        <f t="shared" si="81"/>
        <v>9779895620.7409458</v>
      </c>
      <c r="Z67" s="778">
        <f t="shared" si="81"/>
        <v>10122667630.753548</v>
      </c>
      <c r="AA67" s="778">
        <f t="shared" si="81"/>
        <v>10345053771.105444</v>
      </c>
      <c r="AB67" s="778">
        <f t="shared" si="81"/>
        <v>9632218261.3015614</v>
      </c>
      <c r="AC67" s="778">
        <f t="shared" si="81"/>
        <v>9367631449.5645065</v>
      </c>
      <c r="AD67" s="778">
        <f t="shared" si="81"/>
        <v>9759103490.3239956</v>
      </c>
      <c r="AE67" s="778">
        <f t="shared" si="81"/>
        <v>10540847920.04525</v>
      </c>
      <c r="AF67" s="778">
        <f t="shared" si="81"/>
        <v>10810191379.407492</v>
      </c>
      <c r="AG67" s="778">
        <f t="shared" si="81"/>
        <v>11360301906.006016</v>
      </c>
      <c r="AH67" s="778">
        <f t="shared" si="81"/>
        <v>12172930876.603027</v>
      </c>
      <c r="AI67" s="778">
        <f t="shared" si="81"/>
        <v>12510080631.471697</v>
      </c>
      <c r="AJ67" s="778">
        <f t="shared" si="81"/>
        <v>11527207715.599468</v>
      </c>
      <c r="AK67" s="778">
        <f t="shared" si="81"/>
        <v>11216392746.925922</v>
      </c>
      <c r="AL67" s="778">
        <f t="shared" si="81"/>
        <v>10518944493.934177</v>
      </c>
      <c r="AM67" s="778">
        <f t="shared" si="81"/>
        <v>10085905751.963181</v>
      </c>
      <c r="AN67" s="778">
        <f t="shared" si="81"/>
        <v>10032849949.893751</v>
      </c>
      <c r="AO67" s="778">
        <f t="shared" si="81"/>
        <v>10905406240.789015</v>
      </c>
      <c r="AP67" s="778">
        <f t="shared" si="81"/>
        <v>11824631983.142246</v>
      </c>
      <c r="AQ67" s="778">
        <f t="shared" si="81"/>
        <v>12728821820.148573</v>
      </c>
      <c r="AR67" s="778">
        <f t="shared" si="81"/>
        <v>13488337019.307253</v>
      </c>
      <c r="AS67" s="778">
        <f t="shared" si="81"/>
        <v>13472742401.07826</v>
      </c>
      <c r="AT67" s="778">
        <f t="shared" si="81"/>
        <v>11072343845.689741</v>
      </c>
      <c r="AU67" s="642">
        <f t="shared" si="81"/>
        <v>10549620984.13102</v>
      </c>
      <c r="AV67" s="642">
        <f t="shared" si="81"/>
        <v>10875612091.070639</v>
      </c>
      <c r="AW67" s="642">
        <f t="shared" si="81"/>
        <v>11011404316.928089</v>
      </c>
      <c r="AX67" s="642">
        <f t="shared" si="81"/>
        <v>11552448730.303848</v>
      </c>
      <c r="AY67" s="642">
        <f t="shared" si="81"/>
        <v>12294904147.488867</v>
      </c>
      <c r="AZ67" s="642">
        <f t="shared" si="81"/>
        <v>12791279540.380007</v>
      </c>
      <c r="BA67" s="642">
        <f t="shared" si="81"/>
        <v>13211196080.051769</v>
      </c>
      <c r="BB67" s="642">
        <f t="shared" si="81"/>
        <v>13864387302.16271</v>
      </c>
      <c r="BC67" s="642">
        <f t="shared" si="81"/>
        <v>13683700670.873751</v>
      </c>
      <c r="BD67" s="642">
        <f t="shared" si="81"/>
        <v>10991039312.530443</v>
      </c>
      <c r="BE67" s="642">
        <f t="shared" si="81"/>
        <v>9668986343.5782013</v>
      </c>
      <c r="BF67" s="642">
        <f t="shared" si="81"/>
        <v>9702014201.4997501</v>
      </c>
      <c r="BG67" s="642">
        <f t="shared" si="81"/>
        <v>10303698909.266357</v>
      </c>
      <c r="BH67" s="642">
        <f t="shared" si="81"/>
        <v>10672760193.597206</v>
      </c>
      <c r="BI67" s="642">
        <f t="shared" si="81"/>
        <v>11206470067.672121</v>
      </c>
      <c r="BJ67" s="642">
        <f t="shared" si="81"/>
        <v>11185705073.564266</v>
      </c>
      <c r="BK67" s="642">
        <f t="shared" si="81"/>
        <v>9743554702.7702847</v>
      </c>
      <c r="BL67" s="642">
        <f t="shared" si="81"/>
        <v>9751803183.6701698</v>
      </c>
      <c r="BM67" s="642">
        <f t="shared" si="81"/>
        <v>9502507142.3532352</v>
      </c>
      <c r="BN67" s="642">
        <f t="shared" si="81"/>
        <v>9505849907.0689602</v>
      </c>
      <c r="BO67" s="642">
        <f t="shared" si="81"/>
        <v>10209316680.266626</v>
      </c>
      <c r="BP67" s="642">
        <f t="shared" si="81"/>
        <v>10274492046.658783</v>
      </c>
      <c r="BQ67" s="642">
        <f t="shared" si="81"/>
        <v>10802587279.320469</v>
      </c>
      <c r="BR67" s="642">
        <f t="shared" si="81"/>
        <v>11288858165.649002</v>
      </c>
      <c r="BS67" s="642">
        <f t="shared" ref="BS67:CM67" si="82">BS46+BS47+BS48+BS49+BS65+BS66</f>
        <v>10420391604.038195</v>
      </c>
      <c r="BT67" s="642">
        <f t="shared" si="82"/>
        <v>8288452476.7598839</v>
      </c>
      <c r="BU67" s="642">
        <f t="shared" si="82"/>
        <v>9726148554.3638153</v>
      </c>
      <c r="BV67" s="642">
        <f t="shared" si="82"/>
        <v>9638473641.1788464</v>
      </c>
      <c r="BW67" s="642">
        <f t="shared" si="82"/>
        <v>10111795100.792431</v>
      </c>
      <c r="BX67" s="642">
        <f t="shared" si="82"/>
        <v>8599462254.0230026</v>
      </c>
      <c r="BY67" s="642">
        <f t="shared" si="82"/>
        <v>8734670375.1218567</v>
      </c>
      <c r="BZ67" s="642">
        <f t="shared" si="82"/>
        <v>8643131559.5874729</v>
      </c>
      <c r="CA67" s="642">
        <f t="shared" si="82"/>
        <v>7944618201.8167229</v>
      </c>
      <c r="CB67" s="642">
        <f t="shared" si="82"/>
        <v>8907887108.2448368</v>
      </c>
      <c r="CC67" s="642">
        <f t="shared" si="82"/>
        <v>9664648484.9255199</v>
      </c>
      <c r="CD67" s="642">
        <f t="shared" si="82"/>
        <v>10840221803.096735</v>
      </c>
      <c r="CE67" s="642">
        <f t="shared" si="82"/>
        <v>11783308681.988766</v>
      </c>
      <c r="CF67" s="642">
        <f t="shared" si="82"/>
        <v>12194456203.045145</v>
      </c>
      <c r="CG67" s="642">
        <f t="shared" si="82"/>
        <v>11519034970.890652</v>
      </c>
      <c r="CH67" s="642">
        <f t="shared" si="82"/>
        <v>11404722152.815769</v>
      </c>
      <c r="CI67" s="642">
        <f t="shared" si="82"/>
        <v>12143967343.938824</v>
      </c>
      <c r="CJ67" s="642">
        <f t="shared" si="82"/>
        <v>13209693974.895622</v>
      </c>
      <c r="CK67" s="642">
        <f t="shared" si="82"/>
        <v>13234372097.427071</v>
      </c>
      <c r="CL67" s="642">
        <f t="shared" si="82"/>
        <v>13464552670.325596</v>
      </c>
      <c r="CM67" s="642">
        <f t="shared" si="82"/>
        <v>11001964636.7162</v>
      </c>
      <c r="CN67" s="245"/>
      <c r="CO67" s="245"/>
      <c r="CP67" s="245"/>
      <c r="CQ67" s="245"/>
      <c r="CR67" s="245"/>
      <c r="CS67" s="245"/>
      <c r="CT67" s="245"/>
      <c r="CU67" s="245"/>
      <c r="CV67" s="245"/>
      <c r="CW67" s="245"/>
      <c r="CX67" s="245"/>
      <c r="CY67" s="245"/>
      <c r="CZ67" s="245"/>
      <c r="DA67" s="245"/>
      <c r="DB67" s="245"/>
      <c r="DC67" s="245"/>
      <c r="DD67" s="245"/>
      <c r="DE67" s="245"/>
      <c r="DF67" s="245"/>
      <c r="DG67" s="245"/>
      <c r="DH67" s="245"/>
      <c r="DI67" s="245"/>
      <c r="DJ67" s="245"/>
      <c r="DK67" s="245"/>
      <c r="DL67" s="245"/>
      <c r="DM67" s="245"/>
      <c r="DN67" s="245"/>
      <c r="DO67" s="245"/>
      <c r="DP67" s="245"/>
      <c r="DQ67" s="245"/>
      <c r="DR67" s="245"/>
      <c r="DS67" s="245"/>
      <c r="DT67" s="245"/>
      <c r="DU67" s="245"/>
      <c r="DV67" s="245"/>
      <c r="DW67" s="245"/>
      <c r="DX67" s="245"/>
      <c r="DY67" s="245"/>
      <c r="DZ67" s="245"/>
      <c r="EA67" s="245"/>
      <c r="EB67" s="245"/>
      <c r="EC67" s="245"/>
      <c r="ED67" s="245"/>
      <c r="EE67" s="245"/>
      <c r="EF67" s="245"/>
      <c r="EG67" s="245"/>
      <c r="EH67" s="245"/>
      <c r="EI67" s="245"/>
      <c r="EJ67" s="245"/>
      <c r="EK67" s="245"/>
      <c r="EL67" s="245"/>
      <c r="EM67" s="245"/>
      <c r="EN67" s="245"/>
      <c r="EO67" s="245"/>
      <c r="EP67" s="245"/>
      <c r="EQ67" s="245"/>
      <c r="ER67" s="245"/>
      <c r="ES67" s="245"/>
      <c r="ET67" s="245"/>
      <c r="EU67" s="245"/>
      <c r="EV67" s="245"/>
      <c r="EW67" s="245"/>
      <c r="EX67" s="245"/>
      <c r="EY67" s="245"/>
      <c r="EZ67" s="245"/>
      <c r="FA67" s="245"/>
      <c r="FB67" s="245"/>
      <c r="FC67" s="245"/>
      <c r="FD67" s="245"/>
      <c r="FE67" s="245"/>
      <c r="FF67" s="245"/>
      <c r="FG67" s="245"/>
      <c r="FH67" s="245"/>
      <c r="FI67" s="245"/>
      <c r="FJ67" s="245"/>
      <c r="FK67" s="245"/>
      <c r="FL67" s="245"/>
      <c r="FM67" s="245"/>
      <c r="FN67" s="245"/>
      <c r="FO67" s="245"/>
      <c r="FP67" s="245"/>
      <c r="FQ67" s="245"/>
      <c r="FR67" s="245"/>
      <c r="FS67" s="245"/>
      <c r="FT67" s="245"/>
      <c r="FU67" s="245"/>
      <c r="FV67" s="245"/>
    </row>
    <row r="68" spans="1:178" ht="46.5" customHeight="1">
      <c r="A68" s="1023"/>
      <c r="B68" s="1023"/>
      <c r="C68" s="1023"/>
      <c r="D68" s="1023"/>
      <c r="E68" s="1024"/>
      <c r="F68" s="718" t="s">
        <v>192</v>
      </c>
      <c r="G68" s="783">
        <f t="shared" ref="G68:BR68" si="83">G67-G54-G55</f>
        <v>10879249611.476439</v>
      </c>
      <c r="H68" s="783">
        <f t="shared" si="83"/>
        <v>9808034573.1441803</v>
      </c>
      <c r="I68" s="783">
        <f t="shared" si="83"/>
        <v>8263534564.1998138</v>
      </c>
      <c r="J68" s="783">
        <f t="shared" si="83"/>
        <v>6620185053.0562963</v>
      </c>
      <c r="K68" s="783">
        <f t="shared" si="83"/>
        <v>7836773598.9239159</v>
      </c>
      <c r="L68" s="783">
        <f t="shared" si="83"/>
        <v>7932450105.2188473</v>
      </c>
      <c r="M68" s="783">
        <f t="shared" si="83"/>
        <v>8138442203.0281525</v>
      </c>
      <c r="N68" s="783">
        <f t="shared" si="83"/>
        <v>8528799714.3509512</v>
      </c>
      <c r="O68" s="783">
        <f t="shared" si="83"/>
        <v>8172069727.0825043</v>
      </c>
      <c r="P68" s="783">
        <f t="shared" si="83"/>
        <v>7275339548.5323734</v>
      </c>
      <c r="Q68" s="783">
        <f t="shared" si="83"/>
        <v>6710459189.4006205</v>
      </c>
      <c r="R68" s="783">
        <f t="shared" si="83"/>
        <v>6932170191.9992619</v>
      </c>
      <c r="S68" s="783">
        <f t="shared" si="83"/>
        <v>7206943000.9945068</v>
      </c>
      <c r="T68" s="783">
        <f t="shared" si="83"/>
        <v>7454585243.1914501</v>
      </c>
      <c r="U68" s="783">
        <f t="shared" si="83"/>
        <v>7326012577.2769928</v>
      </c>
      <c r="V68" s="783">
        <f t="shared" si="83"/>
        <v>5972037023.2068653</v>
      </c>
      <c r="W68" s="783">
        <f t="shared" si="83"/>
        <v>5721190134.8000202</v>
      </c>
      <c r="X68" s="783">
        <f t="shared" si="83"/>
        <v>6148321880.3005714</v>
      </c>
      <c r="Y68" s="783">
        <f t="shared" si="83"/>
        <v>6400832805.0916767</v>
      </c>
      <c r="Z68" s="783">
        <f t="shared" si="83"/>
        <v>6693100907.543539</v>
      </c>
      <c r="AA68" s="783">
        <f t="shared" si="83"/>
        <v>6851562590.9074593</v>
      </c>
      <c r="AB68" s="783">
        <f t="shared" si="83"/>
        <v>6232187992.842762</v>
      </c>
      <c r="AC68" s="783">
        <f t="shared" si="83"/>
        <v>6003459893.6700659</v>
      </c>
      <c r="AD68" s="783">
        <f t="shared" si="83"/>
        <v>6371319475.7866745</v>
      </c>
      <c r="AE68" s="783">
        <f t="shared" si="83"/>
        <v>6990827589.6986942</v>
      </c>
      <c r="AF68" s="783">
        <f t="shared" si="83"/>
        <v>7201786353.7581863</v>
      </c>
      <c r="AG68" s="783">
        <f t="shared" si="83"/>
        <v>7593695833.6244278</v>
      </c>
      <c r="AH68" s="783">
        <f t="shared" si="83"/>
        <v>8181397485.6362944</v>
      </c>
      <c r="AI68" s="783">
        <f t="shared" si="83"/>
        <v>8313569488.5164299</v>
      </c>
      <c r="AJ68" s="783">
        <f t="shared" si="83"/>
        <v>7560071306.2745285</v>
      </c>
      <c r="AK68" s="783">
        <f t="shared" si="83"/>
        <v>7204628287.0438766</v>
      </c>
      <c r="AL68" s="783">
        <f t="shared" si="83"/>
        <v>6698009328.2651243</v>
      </c>
      <c r="AM68" s="783">
        <f t="shared" si="83"/>
        <v>6379656079.2560253</v>
      </c>
      <c r="AN68" s="783">
        <f t="shared" si="83"/>
        <v>6313700188.39468</v>
      </c>
      <c r="AO68" s="783">
        <f t="shared" si="83"/>
        <v>7087623158.0870991</v>
      </c>
      <c r="AP68" s="783">
        <f t="shared" si="83"/>
        <v>7833329836.3615675</v>
      </c>
      <c r="AQ68" s="783">
        <f t="shared" si="83"/>
        <v>8527652493.3395109</v>
      </c>
      <c r="AR68" s="783">
        <f t="shared" si="83"/>
        <v>9242326422.6981125</v>
      </c>
      <c r="AS68" s="783">
        <f t="shared" si="83"/>
        <v>9123699746.9487267</v>
      </c>
      <c r="AT68" s="783">
        <f t="shared" si="83"/>
        <v>7127354970.6224613</v>
      </c>
      <c r="AU68" s="717">
        <f t="shared" si="83"/>
        <v>6577850227.6511965</v>
      </c>
      <c r="AV68" s="717">
        <f t="shared" si="83"/>
        <v>6815788278.4325047</v>
      </c>
      <c r="AW68" s="717">
        <f t="shared" si="83"/>
        <v>6878097809.7775497</v>
      </c>
      <c r="AX68" s="717">
        <f t="shared" si="83"/>
        <v>7249881878.8842573</v>
      </c>
      <c r="AY68" s="717">
        <f t="shared" si="83"/>
        <v>7499960900.6681376</v>
      </c>
      <c r="AZ68" s="717">
        <f t="shared" si="83"/>
        <v>7956223945.9502497</v>
      </c>
      <c r="BA68" s="717">
        <f t="shared" si="83"/>
        <v>8302065164.7993069</v>
      </c>
      <c r="BB68" s="717">
        <f t="shared" si="83"/>
        <v>8676472562.2632961</v>
      </c>
      <c r="BC68" s="717">
        <f t="shared" si="83"/>
        <v>8496857621.4244194</v>
      </c>
      <c r="BD68" s="717">
        <f t="shared" si="83"/>
        <v>6571257168.2901144</v>
      </c>
      <c r="BE68" s="717">
        <f t="shared" si="83"/>
        <v>5935326584.2128315</v>
      </c>
      <c r="BF68" s="717">
        <f t="shared" si="83"/>
        <v>6130709895.6005306</v>
      </c>
      <c r="BG68" s="717">
        <f t="shared" si="83"/>
        <v>6629683986.9402466</v>
      </c>
      <c r="BH68" s="717">
        <f t="shared" si="83"/>
        <v>6849747582.9884844</v>
      </c>
      <c r="BI68" s="717">
        <f t="shared" si="83"/>
        <v>7294672664.1572008</v>
      </c>
      <c r="BJ68" s="717">
        <f t="shared" si="83"/>
        <v>7305013989.1114702</v>
      </c>
      <c r="BK68" s="717">
        <f t="shared" si="83"/>
        <v>6090262553.4900045</v>
      </c>
      <c r="BL68" s="717">
        <f t="shared" si="83"/>
        <v>6148177756.6926069</v>
      </c>
      <c r="BM68" s="717">
        <f t="shared" si="83"/>
        <v>5831163882.915184</v>
      </c>
      <c r="BN68" s="717">
        <f t="shared" si="83"/>
        <v>5775032119.7626324</v>
      </c>
      <c r="BO68" s="717">
        <f t="shared" si="83"/>
        <v>6220456921.5799217</v>
      </c>
      <c r="BP68" s="717">
        <f t="shared" si="83"/>
        <v>6398505041.8382587</v>
      </c>
      <c r="BQ68" s="717">
        <f t="shared" si="83"/>
        <v>7066090692.2678633</v>
      </c>
      <c r="BR68" s="717">
        <f t="shared" si="83"/>
        <v>7281644079.602951</v>
      </c>
      <c r="BS68" s="717">
        <f t="shared" ref="BS68:CL68" si="84">BS67-BS54-BS55</f>
        <v>6561948984.260478</v>
      </c>
      <c r="BT68" s="717">
        <f t="shared" si="84"/>
        <v>5021685237.0458803</v>
      </c>
      <c r="BU68" s="717">
        <f t="shared" si="84"/>
        <v>6714622308.7298393</v>
      </c>
      <c r="BV68" s="717">
        <f t="shared" si="84"/>
        <v>7208027287.0679951</v>
      </c>
      <c r="BW68" s="717">
        <f t="shared" si="84"/>
        <v>7474738310.5986004</v>
      </c>
      <c r="BX68" s="717">
        <f t="shared" si="84"/>
        <v>5967778353.6141634</v>
      </c>
      <c r="BY68" s="717">
        <f t="shared" si="84"/>
        <v>5977126588.8824024</v>
      </c>
      <c r="BZ68" s="717">
        <f t="shared" si="84"/>
        <v>5758068560.2536869</v>
      </c>
      <c r="CA68" s="717">
        <f t="shared" si="84"/>
        <v>5080418641.5449438</v>
      </c>
      <c r="CB68" s="717">
        <f t="shared" si="84"/>
        <v>5674834649.1540899</v>
      </c>
      <c r="CC68" s="717">
        <f t="shared" si="84"/>
        <v>5937313260.6087112</v>
      </c>
      <c r="CD68" s="717">
        <f t="shared" si="84"/>
        <v>6844005311.9371262</v>
      </c>
      <c r="CE68" s="717">
        <f t="shared" si="84"/>
        <v>7836606642.9712143</v>
      </c>
      <c r="CF68" s="717">
        <f t="shared" si="84"/>
        <v>7992978028.7165556</v>
      </c>
      <c r="CG68" s="717">
        <f t="shared" si="84"/>
        <v>7064729395.2415085</v>
      </c>
      <c r="CH68" s="717">
        <f t="shared" si="84"/>
        <v>7013006055.9589796</v>
      </c>
      <c r="CI68" s="717">
        <f t="shared" si="84"/>
        <v>7497890418.1505566</v>
      </c>
      <c r="CJ68" s="717">
        <f t="shared" si="84"/>
        <v>8177122861.0032053</v>
      </c>
      <c r="CK68" s="717">
        <f t="shared" si="84"/>
        <v>7835357722.4879904</v>
      </c>
      <c r="CL68" s="717">
        <f t="shared" si="84"/>
        <v>8056338772.8942385</v>
      </c>
      <c r="CM68" s="651">
        <f>AVERAGE(G68:CL68)</f>
        <v>7125403938.9877977</v>
      </c>
      <c r="CN68" s="245"/>
      <c r="CO68" s="245"/>
      <c r="CP68" s="245"/>
      <c r="CQ68" s="245"/>
      <c r="CR68" s="245"/>
      <c r="CS68" s="245"/>
      <c r="CT68" s="245"/>
      <c r="CU68" s="245"/>
      <c r="CV68" s="245"/>
      <c r="CW68" s="245"/>
      <c r="CX68" s="245"/>
      <c r="CY68" s="245"/>
      <c r="CZ68" s="245"/>
      <c r="DA68" s="245"/>
      <c r="DB68" s="245"/>
      <c r="DC68" s="245"/>
      <c r="DD68" s="245"/>
      <c r="DE68" s="245"/>
      <c r="DF68" s="245"/>
      <c r="DG68" s="245"/>
      <c r="DH68" s="245"/>
      <c r="DI68" s="245"/>
      <c r="DJ68" s="245"/>
      <c r="DK68" s="245"/>
      <c r="DL68" s="245"/>
      <c r="DM68" s="245"/>
      <c r="DN68" s="245"/>
      <c r="DO68" s="245"/>
      <c r="DP68" s="245"/>
      <c r="DQ68" s="245"/>
      <c r="DR68" s="245"/>
      <c r="DS68" s="245"/>
      <c r="DT68" s="245"/>
      <c r="DU68" s="245"/>
      <c r="DV68" s="245"/>
      <c r="DW68" s="245"/>
      <c r="DX68" s="245"/>
      <c r="DY68" s="245"/>
      <c r="DZ68" s="245"/>
      <c r="EA68" s="245"/>
      <c r="EB68" s="245"/>
      <c r="EC68" s="245"/>
      <c r="ED68" s="245"/>
      <c r="EE68" s="245"/>
      <c r="EF68" s="245"/>
      <c r="EG68" s="245"/>
      <c r="EH68" s="245"/>
      <c r="EI68" s="245"/>
      <c r="EJ68" s="245"/>
      <c r="EK68" s="245"/>
      <c r="EL68" s="245"/>
      <c r="EM68" s="245"/>
      <c r="EN68" s="245"/>
      <c r="EO68" s="245"/>
      <c r="EP68" s="245"/>
      <c r="EQ68" s="245"/>
      <c r="ER68" s="245"/>
      <c r="ES68" s="245"/>
      <c r="ET68" s="245"/>
      <c r="EU68" s="245"/>
      <c r="EV68" s="245"/>
      <c r="EW68" s="245"/>
      <c r="EX68" s="245"/>
      <c r="EY68" s="245"/>
      <c r="EZ68" s="245"/>
      <c r="FA68" s="245"/>
      <c r="FB68" s="245"/>
      <c r="FC68" s="245"/>
      <c r="FD68" s="245"/>
      <c r="FE68" s="245"/>
      <c r="FF68" s="245"/>
      <c r="FG68" s="245"/>
      <c r="FH68" s="245"/>
      <c r="FI68" s="245"/>
      <c r="FJ68" s="245"/>
      <c r="FK68" s="245"/>
      <c r="FL68" s="245"/>
      <c r="FM68" s="245"/>
      <c r="FN68" s="245"/>
      <c r="FO68" s="245"/>
      <c r="FP68" s="245"/>
      <c r="FQ68" s="245"/>
      <c r="FR68" s="245"/>
      <c r="FS68" s="245"/>
      <c r="FT68" s="245"/>
      <c r="FU68" s="245"/>
      <c r="FV68" s="245"/>
    </row>
    <row r="69" spans="1:178" ht="12" customHeight="1">
      <c r="A69" s="1023" t="s">
        <v>519</v>
      </c>
      <c r="B69" s="1023"/>
      <c r="C69" s="1023"/>
      <c r="D69" s="1023"/>
      <c r="E69" s="1024"/>
      <c r="F69" s="784" t="s">
        <v>344</v>
      </c>
      <c r="G69" s="785">
        <f t="shared" ref="G69:BR69" si="85">G68*G52/G16</f>
        <v>61963.611736899162</v>
      </c>
      <c r="H69" s="785">
        <f t="shared" si="85"/>
        <v>56499.892428141684</v>
      </c>
      <c r="I69" s="785">
        <f t="shared" si="85"/>
        <v>48323.662982628499</v>
      </c>
      <c r="J69" s="785">
        <f t="shared" si="85"/>
        <v>39375.43114486894</v>
      </c>
      <c r="K69" s="785">
        <f t="shared" si="85"/>
        <v>45832.984454892605</v>
      </c>
      <c r="L69" s="785">
        <f t="shared" si="85"/>
        <v>46441.259751146536</v>
      </c>
      <c r="M69" s="785">
        <f t="shared" si="85"/>
        <v>47466.840662139737</v>
      </c>
      <c r="N69" s="785">
        <f t="shared" si="85"/>
        <v>49553.094235523196</v>
      </c>
      <c r="O69" s="785">
        <f t="shared" si="85"/>
        <v>47418.119039620316</v>
      </c>
      <c r="P69" s="785">
        <f t="shared" si="85"/>
        <v>42654.715999026645</v>
      </c>
      <c r="Q69" s="785">
        <f t="shared" si="85"/>
        <v>39726.143001155346</v>
      </c>
      <c r="R69" s="785">
        <f t="shared" si="85"/>
        <v>40890.600672096734</v>
      </c>
      <c r="S69" s="785">
        <f t="shared" si="85"/>
        <v>42369.13615209706</v>
      </c>
      <c r="T69" s="785">
        <f t="shared" si="85"/>
        <v>43807.416637328279</v>
      </c>
      <c r="U69" s="785">
        <f t="shared" si="85"/>
        <v>42963.129158519245</v>
      </c>
      <c r="V69" s="785">
        <f t="shared" si="85"/>
        <v>35585.085413679342</v>
      </c>
      <c r="W69" s="785">
        <f t="shared" si="85"/>
        <v>34268.172859000573</v>
      </c>
      <c r="X69" s="785">
        <f t="shared" si="85"/>
        <v>36441.4699596184</v>
      </c>
      <c r="Y69" s="785">
        <f t="shared" si="85"/>
        <v>37394.007528643939</v>
      </c>
      <c r="Z69" s="785">
        <f t="shared" si="85"/>
        <v>38957.221826311768</v>
      </c>
      <c r="AA69" s="785">
        <f t="shared" si="85"/>
        <v>39795.292750273737</v>
      </c>
      <c r="AB69" s="785">
        <f t="shared" si="85"/>
        <v>36435.119208697593</v>
      </c>
      <c r="AC69" s="785">
        <f t="shared" si="85"/>
        <v>35204.838853997091</v>
      </c>
      <c r="AD69" s="785">
        <f t="shared" si="85"/>
        <v>37179.258366756178</v>
      </c>
      <c r="AE69" s="785">
        <f t="shared" si="85"/>
        <v>40247.280081356745</v>
      </c>
      <c r="AF69" s="785">
        <f t="shared" si="85"/>
        <v>41512.566918524855</v>
      </c>
      <c r="AG69" s="785">
        <f t="shared" si="85"/>
        <v>43502.192186364293</v>
      </c>
      <c r="AH69" s="785">
        <f t="shared" si="85"/>
        <v>46688.480069109835</v>
      </c>
      <c r="AI69" s="785">
        <f t="shared" si="85"/>
        <v>47460.44207725719</v>
      </c>
      <c r="AJ69" s="785">
        <f t="shared" si="85"/>
        <v>43417.635567772566</v>
      </c>
      <c r="AK69" s="785">
        <f t="shared" si="85"/>
        <v>41332.642293753903</v>
      </c>
      <c r="AL69" s="785">
        <f t="shared" si="85"/>
        <v>38600.081293528448</v>
      </c>
      <c r="AM69" s="785">
        <f t="shared" si="85"/>
        <v>36948.758681137362</v>
      </c>
      <c r="AN69" s="785">
        <f t="shared" si="85"/>
        <v>36491.849809945896</v>
      </c>
      <c r="AO69" s="785">
        <f t="shared" si="85"/>
        <v>40752.734552135451</v>
      </c>
      <c r="AP69" s="785">
        <f t="shared" si="85"/>
        <v>44817.124852424553</v>
      </c>
      <c r="AQ69" s="785">
        <f t="shared" si="85"/>
        <v>48870.446098818866</v>
      </c>
      <c r="AR69" s="785">
        <f t="shared" si="85"/>
        <v>52652.764353668623</v>
      </c>
      <c r="AS69" s="785">
        <f t="shared" si="85"/>
        <v>51985.323532558243</v>
      </c>
      <c r="AT69" s="785">
        <f t="shared" si="85"/>
        <v>42510.706521934218</v>
      </c>
      <c r="AU69" s="786">
        <f t="shared" si="85"/>
        <v>39462.724574058637</v>
      </c>
      <c r="AV69" s="786">
        <f t="shared" si="85"/>
        <v>41317.752524413656</v>
      </c>
      <c r="AW69" s="786">
        <f t="shared" si="85"/>
        <v>41486.979961331017</v>
      </c>
      <c r="AX69" s="786">
        <f t="shared" si="85"/>
        <v>42540.078678133003</v>
      </c>
      <c r="AY69" s="786">
        <f t="shared" si="85"/>
        <v>45093.270976477259</v>
      </c>
      <c r="AZ69" s="786">
        <f t="shared" si="85"/>
        <v>48141.692835681912</v>
      </c>
      <c r="BA69" s="786">
        <f t="shared" si="85"/>
        <v>50242.164633593769</v>
      </c>
      <c r="BB69" s="786">
        <f t="shared" si="85"/>
        <v>52251.294059201966</v>
      </c>
      <c r="BC69" s="786">
        <f t="shared" si="85"/>
        <v>49374.489349965326</v>
      </c>
      <c r="BD69" s="786">
        <f t="shared" si="85"/>
        <v>38646.251233821582</v>
      </c>
      <c r="BE69" s="786">
        <f t="shared" si="85"/>
        <v>35294.984526991029</v>
      </c>
      <c r="BF69" s="786">
        <f t="shared" si="85"/>
        <v>36484.099077876133</v>
      </c>
      <c r="BG69" s="786">
        <f t="shared" si="85"/>
        <v>39082.170154230684</v>
      </c>
      <c r="BH69" s="786">
        <f t="shared" si="85"/>
        <v>40257.410392038881</v>
      </c>
      <c r="BI69" s="786">
        <f t="shared" si="85"/>
        <v>42804.669843787233</v>
      </c>
      <c r="BJ69" s="786">
        <f t="shared" si="85"/>
        <v>42889.059087916416</v>
      </c>
      <c r="BK69" s="786">
        <f t="shared" si="85"/>
        <v>36287.565995354249</v>
      </c>
      <c r="BL69" s="786">
        <f t="shared" si="85"/>
        <v>36533.153794634622</v>
      </c>
      <c r="BM69" s="786">
        <f t="shared" si="85"/>
        <v>34878.39023342634</v>
      </c>
      <c r="BN69" s="786">
        <f t="shared" si="85"/>
        <v>34329.860524668984</v>
      </c>
      <c r="BO69" s="786">
        <f t="shared" si="85"/>
        <v>36596.209827083883</v>
      </c>
      <c r="BP69" s="786">
        <f t="shared" si="85"/>
        <v>37636.784379337223</v>
      </c>
      <c r="BQ69" s="786">
        <f t="shared" si="85"/>
        <v>41390.428340023595</v>
      </c>
      <c r="BR69" s="786">
        <f t="shared" si="85"/>
        <v>42776.901168853175</v>
      </c>
      <c r="BS69" s="786">
        <f t="shared" ref="BS69:CL69" si="86">BS68*BS52/BS16</f>
        <v>38868.78821155279</v>
      </c>
      <c r="BT69" s="786">
        <f t="shared" si="86"/>
        <v>30570.967163746085</v>
      </c>
      <c r="BU69" s="786">
        <f t="shared" si="86"/>
        <v>38858.617926028477</v>
      </c>
      <c r="BV69" s="786">
        <f t="shared" si="86"/>
        <v>42142.976394836325</v>
      </c>
      <c r="BW69" s="786">
        <f t="shared" si="86"/>
        <v>43481.79292933848</v>
      </c>
      <c r="BX69" s="786">
        <f t="shared" si="86"/>
        <v>35419.688941738226</v>
      </c>
      <c r="BY69" s="786">
        <f t="shared" si="86"/>
        <v>35501.610833893887</v>
      </c>
      <c r="BZ69" s="786">
        <f t="shared" si="86"/>
        <v>34386.650392533425</v>
      </c>
      <c r="CA69" s="786">
        <f t="shared" si="86"/>
        <v>30386.407422430962</v>
      </c>
      <c r="CB69" s="786">
        <f t="shared" si="86"/>
        <v>33453.446611230916</v>
      </c>
      <c r="CC69" s="786">
        <f t="shared" si="86"/>
        <v>34838.928760911025</v>
      </c>
      <c r="CD69" s="786">
        <f t="shared" si="86"/>
        <v>39764.777960343868</v>
      </c>
      <c r="CE69" s="786">
        <f t="shared" si="86"/>
        <v>45359.161685635416</v>
      </c>
      <c r="CF69" s="786">
        <f t="shared" si="86"/>
        <v>46121.051217839544</v>
      </c>
      <c r="CG69" s="786">
        <f t="shared" si="86"/>
        <v>40812.729371324953</v>
      </c>
      <c r="CH69" s="786">
        <f t="shared" si="86"/>
        <v>40404.56829954865</v>
      </c>
      <c r="CI69" s="786">
        <f t="shared" si="86"/>
        <v>43005.305495703549</v>
      </c>
      <c r="CJ69" s="786">
        <f t="shared" si="86"/>
        <v>46803.410074038416</v>
      </c>
      <c r="CK69" s="786">
        <f t="shared" si="86"/>
        <v>44874.924041390899</v>
      </c>
      <c r="CL69" s="786">
        <f t="shared" si="86"/>
        <v>46087.014864748511</v>
      </c>
      <c r="CM69" s="786">
        <f>AVERAGE(G69:CL69)</f>
        <v>41681.889743869855</v>
      </c>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row>
    <row r="70" spans="1:178" ht="18" customHeight="1">
      <c r="A70" s="1023" t="s">
        <v>520</v>
      </c>
      <c r="B70" s="1023"/>
      <c r="C70" s="1023"/>
      <c r="D70" s="1023"/>
      <c r="E70" s="1024"/>
      <c r="F70" s="784" t="s">
        <v>345</v>
      </c>
      <c r="G70" s="785">
        <f t="shared" ref="G70:BR70" si="87">G53*G68/G17</f>
        <v>85170.215584774734</v>
      </c>
      <c r="H70" s="785">
        <f t="shared" si="87"/>
        <v>75289.273226992373</v>
      </c>
      <c r="I70" s="785">
        <f t="shared" si="87"/>
        <v>61742.709440835344</v>
      </c>
      <c r="J70" s="785">
        <f t="shared" si="87"/>
        <v>47912.34100901855</v>
      </c>
      <c r="K70" s="785">
        <f t="shared" si="87"/>
        <v>58542.48666515269</v>
      </c>
      <c r="L70" s="785">
        <f t="shared" si="87"/>
        <v>59142.982829733191</v>
      </c>
      <c r="M70" s="785">
        <f t="shared" si="87"/>
        <v>61101.87038366952</v>
      </c>
      <c r="N70" s="785">
        <f t="shared" si="87"/>
        <v>64479.229758438174</v>
      </c>
      <c r="O70" s="785">
        <f t="shared" si="87"/>
        <v>61928.467298537355</v>
      </c>
      <c r="P70" s="785">
        <f t="shared" si="87"/>
        <v>54101.653865479013</v>
      </c>
      <c r="Q70" s="785">
        <f t="shared" si="87"/>
        <v>49002.329782035609</v>
      </c>
      <c r="R70" s="785">
        <f t="shared" si="87"/>
        <v>50968.56330646517</v>
      </c>
      <c r="S70" s="785">
        <f t="shared" si="87"/>
        <v>53322.391272080305</v>
      </c>
      <c r="T70" s="785">
        <f t="shared" si="87"/>
        <v>55195.884076350616</v>
      </c>
      <c r="U70" s="785">
        <f t="shared" si="87"/>
        <v>54451.927689877833</v>
      </c>
      <c r="V70" s="785">
        <f t="shared" si="87"/>
        <v>43069.786161810334</v>
      </c>
      <c r="W70" s="785">
        <f t="shared" si="87"/>
        <v>40843.823706862575</v>
      </c>
      <c r="X70" s="785">
        <f t="shared" si="87"/>
        <v>44796.096808122587</v>
      </c>
      <c r="Y70" s="785">
        <f t="shared" si="87"/>
        <v>47911.695980827542</v>
      </c>
      <c r="Z70" s="785">
        <f t="shared" si="87"/>
        <v>50437.583666207087</v>
      </c>
      <c r="AA70" s="785">
        <f t="shared" si="87"/>
        <v>51829.275800952775</v>
      </c>
      <c r="AB70" s="785">
        <f t="shared" si="87"/>
        <v>46587.580353228594</v>
      </c>
      <c r="AC70" s="785">
        <f t="shared" si="87"/>
        <v>44627.03995085349</v>
      </c>
      <c r="AD70" s="785">
        <f t="shared" si="87"/>
        <v>47790.039008225598</v>
      </c>
      <c r="AE70" s="785">
        <f t="shared" si="87"/>
        <v>53719.600294595621</v>
      </c>
      <c r="AF70" s="785">
        <f t="shared" si="87"/>
        <v>55221.637726291156</v>
      </c>
      <c r="AG70" s="785">
        <f t="shared" si="87"/>
        <v>58858.447505967488</v>
      </c>
      <c r="AH70" s="785">
        <f t="shared" si="87"/>
        <v>63836.920641016462</v>
      </c>
      <c r="AI70" s="785">
        <f t="shared" si="87"/>
        <v>64826.71293849832</v>
      </c>
      <c r="AJ70" s="785">
        <f t="shared" si="87"/>
        <v>58344.424836727208</v>
      </c>
      <c r="AK70" s="785">
        <f t="shared" si="87"/>
        <v>55703.727497266613</v>
      </c>
      <c r="AL70" s="785">
        <f t="shared" si="87"/>
        <v>51378.985018887106</v>
      </c>
      <c r="AM70" s="785">
        <f t="shared" si="87"/>
        <v>48507.114457495562</v>
      </c>
      <c r="AN70" s="785">
        <f t="shared" si="87"/>
        <v>48181.286162081487</v>
      </c>
      <c r="AO70" s="785">
        <f t="shared" si="87"/>
        <v>54584.896533555526</v>
      </c>
      <c r="AP70" s="785">
        <f t="shared" si="87"/>
        <v>60851.522299096832</v>
      </c>
      <c r="AQ70" s="785">
        <f t="shared" si="87"/>
        <v>66055.600471139376</v>
      </c>
      <c r="AR70" s="785">
        <f t="shared" si="87"/>
        <v>72326.241045235322</v>
      </c>
      <c r="AS70" s="785">
        <f t="shared" si="87"/>
        <v>71378.307292904297</v>
      </c>
      <c r="AT70" s="785">
        <f t="shared" si="87"/>
        <v>51304.470314600534</v>
      </c>
      <c r="AU70" s="786">
        <f t="shared" si="87"/>
        <v>46810.848313035778</v>
      </c>
      <c r="AV70" s="786">
        <f t="shared" si="87"/>
        <v>47501.581416079418</v>
      </c>
      <c r="AW70" s="786">
        <f t="shared" si="87"/>
        <v>48424.721731365185</v>
      </c>
      <c r="AX70" s="786">
        <f t="shared" si="87"/>
        <v>53831.168457801628</v>
      </c>
      <c r="AY70" s="786">
        <f t="shared" si="87"/>
        <v>53142.036447628947</v>
      </c>
      <c r="AZ70" s="786">
        <f t="shared" si="87"/>
        <v>55659.425308023761</v>
      </c>
      <c r="BA70" s="786">
        <f t="shared" si="87"/>
        <v>58060.427211235401</v>
      </c>
      <c r="BB70" s="786">
        <f t="shared" si="87"/>
        <v>61280.745258796509</v>
      </c>
      <c r="BC70" s="786">
        <f t="shared" si="87"/>
        <v>64221.371567262191</v>
      </c>
      <c r="BD70" s="786">
        <f t="shared" si="87"/>
        <v>48585.649448404802</v>
      </c>
      <c r="BE70" s="786">
        <f t="shared" si="87"/>
        <v>42972.352663770376</v>
      </c>
      <c r="BF70" s="786">
        <f t="shared" si="87"/>
        <v>44323.053543911985</v>
      </c>
      <c r="BG70" s="786">
        <f t="shared" si="87"/>
        <v>48801.201567703509</v>
      </c>
      <c r="BH70" s="786">
        <f t="shared" si="87"/>
        <v>50707.254012097874</v>
      </c>
      <c r="BI70" s="786">
        <f t="shared" si="87"/>
        <v>54159.588552729379</v>
      </c>
      <c r="BJ70" s="786">
        <f t="shared" si="87"/>
        <v>54180.779934734986</v>
      </c>
      <c r="BK70" s="786">
        <f t="shared" si="87"/>
        <v>43927.060963720949</v>
      </c>
      <c r="BL70" s="786">
        <f t="shared" si="87"/>
        <v>44578.063522455661</v>
      </c>
      <c r="BM70" s="786">
        <f t="shared" si="87"/>
        <v>41742.634183403781</v>
      </c>
      <c r="BN70" s="786">
        <f t="shared" si="87"/>
        <v>41839.74949913071</v>
      </c>
      <c r="BO70" s="786">
        <f t="shared" si="87"/>
        <v>45961.347960114683</v>
      </c>
      <c r="BP70" s="786">
        <f t="shared" si="87"/>
        <v>47293.122346454751</v>
      </c>
      <c r="BQ70" s="786">
        <f t="shared" si="87"/>
        <v>52633.495688889314</v>
      </c>
      <c r="BR70" s="786">
        <f t="shared" si="87"/>
        <v>53948.707254852226</v>
      </c>
      <c r="BS70" s="786">
        <f t="shared" ref="BS70:CL70" si="88">BS53*BS68/BS17</f>
        <v>47866.663308365314</v>
      </c>
      <c r="BT70" s="786">
        <f t="shared" si="88"/>
        <v>34694.947044164204</v>
      </c>
      <c r="BU70" s="786">
        <f t="shared" si="88"/>
        <v>51124.69237668116</v>
      </c>
      <c r="BV70" s="786">
        <f t="shared" si="88"/>
        <v>53875.659738663206</v>
      </c>
      <c r="BW70" s="786">
        <f t="shared" si="88"/>
        <v>56386.322402293219</v>
      </c>
      <c r="BX70" s="786">
        <f t="shared" si="88"/>
        <v>43367.393476320554</v>
      </c>
      <c r="BY70" s="786">
        <f t="shared" si="88"/>
        <v>43373.333017003897</v>
      </c>
      <c r="BZ70" s="786">
        <f t="shared" si="88"/>
        <v>41347.238142358998</v>
      </c>
      <c r="CA70" s="786">
        <f t="shared" si="88"/>
        <v>36371.891886232726</v>
      </c>
      <c r="CB70" s="786">
        <f t="shared" si="88"/>
        <v>41772.214022960638</v>
      </c>
      <c r="CC70" s="786">
        <f t="shared" si="88"/>
        <v>44083.797137921189</v>
      </c>
      <c r="CD70" s="786">
        <f t="shared" si="88"/>
        <v>51740.735940953156</v>
      </c>
      <c r="CE70" s="786">
        <f t="shared" si="88"/>
        <v>59649.969357462105</v>
      </c>
      <c r="CF70" s="786">
        <f t="shared" si="88"/>
        <v>61176.011406668942</v>
      </c>
      <c r="CG70" s="786">
        <f t="shared" si="88"/>
        <v>53959.246719720701</v>
      </c>
      <c r="CH70" s="786">
        <f t="shared" si="88"/>
        <v>53820.61232360686</v>
      </c>
      <c r="CI70" s="786">
        <f t="shared" si="88"/>
        <v>57994.036615342469</v>
      </c>
      <c r="CJ70" s="786">
        <f t="shared" si="88"/>
        <v>63476.88056259531</v>
      </c>
      <c r="CK70" s="786">
        <f t="shared" si="88"/>
        <v>60758.952861465237</v>
      </c>
      <c r="CL70" s="786">
        <f t="shared" si="88"/>
        <v>62598.033121310233</v>
      </c>
      <c r="CM70" s="786">
        <f>AVERAGE(G70:CL70)</f>
        <v>53206.549535447411</v>
      </c>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row>
    <row r="71" spans="1:178">
      <c r="F71" s="315"/>
      <c r="G71" s="315"/>
      <c r="H71" s="315"/>
      <c r="I71" s="315"/>
      <c r="J71" s="315"/>
      <c r="K71" s="315"/>
      <c r="L71" s="315"/>
      <c r="M71" s="315"/>
      <c r="N71" s="315"/>
      <c r="O71" s="315"/>
      <c r="P71" s="315"/>
      <c r="Q71" s="315"/>
      <c r="R71" s="315"/>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7"/>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c r="BZ71" s="318"/>
      <c r="CA71" s="318"/>
      <c r="CB71" s="318"/>
      <c r="CC71" s="318"/>
      <c r="CD71" s="318"/>
      <c r="CE71" s="318"/>
      <c r="CF71" s="318"/>
      <c r="CG71" s="318"/>
      <c r="CH71" s="318"/>
      <c r="CI71" s="318"/>
      <c r="CJ71" s="318"/>
      <c r="CK71" s="318"/>
      <c r="CL71" s="318"/>
      <c r="CM71" s="319"/>
    </row>
    <row r="72" spans="1:178">
      <c r="F72" s="320" t="s">
        <v>404</v>
      </c>
      <c r="G72" s="320"/>
      <c r="H72" s="320"/>
      <c r="I72" s="320"/>
      <c r="J72" s="320"/>
      <c r="K72" s="320"/>
      <c r="L72" s="320"/>
      <c r="M72" s="320"/>
      <c r="N72" s="320"/>
      <c r="O72" s="320"/>
      <c r="P72" s="320"/>
      <c r="Q72" s="320"/>
      <c r="R72" s="320"/>
      <c r="S72" s="321">
        <v>79308</v>
      </c>
      <c r="T72" s="321">
        <v>87844.5</v>
      </c>
      <c r="U72" s="321">
        <v>84301.2</v>
      </c>
      <c r="V72" s="321">
        <v>71658</v>
      </c>
      <c r="W72" s="321">
        <v>73467</v>
      </c>
      <c r="X72" s="321">
        <v>79317</v>
      </c>
      <c r="Y72" s="321">
        <v>83124</v>
      </c>
      <c r="Z72" s="321">
        <v>80424</v>
      </c>
      <c r="AA72" s="321">
        <v>78174</v>
      </c>
      <c r="AB72" s="321">
        <v>79992</v>
      </c>
      <c r="AC72" s="321">
        <v>80892</v>
      </c>
      <c r="AD72" s="321">
        <v>80892</v>
      </c>
      <c r="AE72" s="321">
        <v>79920</v>
      </c>
      <c r="AF72" s="321">
        <v>79920</v>
      </c>
      <c r="AG72" s="321">
        <v>79020</v>
      </c>
      <c r="AH72" s="321">
        <v>80838</v>
      </c>
      <c r="AI72" s="321">
        <v>80838</v>
      </c>
      <c r="AJ72" s="321">
        <v>81738</v>
      </c>
      <c r="AK72" s="321">
        <v>80838</v>
      </c>
      <c r="AL72" s="321">
        <v>80838</v>
      </c>
      <c r="AM72" s="321">
        <v>80838</v>
      </c>
      <c r="AN72" s="321">
        <v>80478</v>
      </c>
      <c r="AO72" s="321">
        <v>73638</v>
      </c>
      <c r="AP72" s="321">
        <v>73638</v>
      </c>
      <c r="AQ72" s="321">
        <v>73638</v>
      </c>
      <c r="AR72" s="321">
        <v>75069</v>
      </c>
      <c r="AS72" s="321">
        <v>74097</v>
      </c>
      <c r="AT72" s="322">
        <v>77120</v>
      </c>
      <c r="AU72" s="323">
        <v>78330</v>
      </c>
      <c r="AV72" s="323">
        <v>78330</v>
      </c>
      <c r="AW72" s="323">
        <v>79710</v>
      </c>
      <c r="AX72" s="323">
        <v>81840</v>
      </c>
      <c r="AY72" s="323">
        <v>82290</v>
      </c>
      <c r="AZ72" s="323">
        <v>81605</v>
      </c>
      <c r="BA72" s="323">
        <v>80450</v>
      </c>
      <c r="BB72" s="323">
        <v>82290</v>
      </c>
      <c r="BC72" s="323">
        <v>84860</v>
      </c>
      <c r="BD72" s="323">
        <v>82790</v>
      </c>
      <c r="BE72" s="323">
        <v>75410</v>
      </c>
      <c r="BF72" s="323">
        <v>75535</v>
      </c>
      <c r="BG72" s="323">
        <v>75515</v>
      </c>
      <c r="BH72" s="323">
        <v>76895</v>
      </c>
      <c r="BI72" s="323">
        <v>76895</v>
      </c>
      <c r="BJ72" s="323">
        <v>73118.75</v>
      </c>
      <c r="BK72" s="323">
        <v>69505.666666666672</v>
      </c>
      <c r="BL72" s="323">
        <v>68825</v>
      </c>
      <c r="BM72" s="323">
        <v>69518</v>
      </c>
      <c r="BN72" s="323">
        <v>66726.666666666672</v>
      </c>
      <c r="BO72" s="323">
        <v>68260</v>
      </c>
      <c r="BP72" s="323">
        <v>65340</v>
      </c>
      <c r="BQ72" s="323">
        <v>64110</v>
      </c>
      <c r="BR72" s="323">
        <v>65725</v>
      </c>
      <c r="BS72" s="323">
        <v>66420</v>
      </c>
      <c r="BT72" s="323">
        <v>66430</v>
      </c>
      <c r="BU72" s="323">
        <v>62745</v>
      </c>
      <c r="BV72" s="323">
        <v>59985</v>
      </c>
      <c r="BW72" s="323">
        <v>63743.333333333336</v>
      </c>
      <c r="BX72" s="323">
        <v>67265</v>
      </c>
      <c r="BY72" s="323">
        <v>67680</v>
      </c>
      <c r="BZ72" s="323">
        <v>68533.333333333328</v>
      </c>
      <c r="CA72" s="323">
        <v>71170</v>
      </c>
      <c r="CB72" s="323">
        <v>74566.666666666672</v>
      </c>
      <c r="CC72" s="323">
        <v>80425</v>
      </c>
      <c r="CD72" s="323">
        <v>79965</v>
      </c>
      <c r="CE72" s="323">
        <v>83513.333333333328</v>
      </c>
      <c r="CF72" s="323">
        <v>94750</v>
      </c>
      <c r="CG72" s="323">
        <v>97356.666666666672</v>
      </c>
      <c r="CH72" s="323">
        <v>88703.333333333328</v>
      </c>
      <c r="CI72" s="323">
        <v>85010</v>
      </c>
      <c r="CJ72" s="323">
        <v>87430</v>
      </c>
      <c r="CK72" s="323">
        <v>92103.333333333328</v>
      </c>
      <c r="CL72" s="323">
        <v>94270</v>
      </c>
      <c r="CM72" s="323">
        <f>AVERAGE(G72:CL72)</f>
        <v>77330.538657407393</v>
      </c>
    </row>
    <row r="73" spans="1:178">
      <c r="F73" s="325" t="s">
        <v>405</v>
      </c>
      <c r="G73" s="325"/>
      <c r="H73" s="325"/>
      <c r="I73" s="325"/>
      <c r="J73" s="325"/>
      <c r="K73" s="325"/>
      <c r="L73" s="325"/>
      <c r="M73" s="325"/>
      <c r="N73" s="325"/>
      <c r="O73" s="325"/>
      <c r="P73" s="325"/>
      <c r="Q73" s="325"/>
      <c r="R73" s="325"/>
      <c r="S73" s="326">
        <v>81045</v>
      </c>
      <c r="T73" s="326">
        <v>88461.9</v>
      </c>
      <c r="U73" s="326">
        <v>84411.9</v>
      </c>
      <c r="V73" s="326">
        <v>73836</v>
      </c>
      <c r="W73" s="326">
        <v>75195</v>
      </c>
      <c r="X73" s="326">
        <v>78795</v>
      </c>
      <c r="Y73" s="326">
        <v>81990</v>
      </c>
      <c r="Z73" s="326">
        <v>80190</v>
      </c>
      <c r="AA73" s="326">
        <v>78840</v>
      </c>
      <c r="AB73" s="326">
        <v>80235</v>
      </c>
      <c r="AC73" s="326">
        <v>80235</v>
      </c>
      <c r="AD73" s="326">
        <v>80235</v>
      </c>
      <c r="AE73" s="326">
        <v>78345</v>
      </c>
      <c r="AF73" s="326">
        <v>78345</v>
      </c>
      <c r="AG73" s="326">
        <v>76545</v>
      </c>
      <c r="AH73" s="326">
        <v>78399</v>
      </c>
      <c r="AI73" s="326">
        <v>78399</v>
      </c>
      <c r="AJ73" s="326">
        <v>78399</v>
      </c>
      <c r="AK73" s="326">
        <v>77499</v>
      </c>
      <c r="AL73" s="326">
        <v>77499</v>
      </c>
      <c r="AM73" s="326">
        <v>77499</v>
      </c>
      <c r="AN73" s="326">
        <v>74799</v>
      </c>
      <c r="AO73" s="326">
        <v>71199</v>
      </c>
      <c r="AP73" s="326">
        <v>71199</v>
      </c>
      <c r="AQ73" s="326">
        <v>72549</v>
      </c>
      <c r="AR73" s="326">
        <v>73008</v>
      </c>
      <c r="AS73" s="326">
        <v>74358</v>
      </c>
      <c r="AT73" s="327">
        <v>80539.58795362903</v>
      </c>
      <c r="AU73" s="328">
        <v>86934.170866935485</v>
      </c>
      <c r="AV73" s="328">
        <v>89341.653225806454</v>
      </c>
      <c r="AW73" s="328">
        <v>91140.766129032243</v>
      </c>
      <c r="AX73" s="328">
        <v>96099.868951612909</v>
      </c>
      <c r="AY73" s="328">
        <v>97828.508064516122</v>
      </c>
      <c r="AZ73" s="328">
        <v>97836.572580645152</v>
      </c>
      <c r="BA73" s="328">
        <v>97190.645161290318</v>
      </c>
      <c r="BB73" s="328">
        <v>97364.107862903213</v>
      </c>
      <c r="BC73" s="328">
        <v>98086.408770161288</v>
      </c>
      <c r="BD73" s="328">
        <v>93706.549059139783</v>
      </c>
      <c r="BE73" s="328">
        <v>83380.277217741939</v>
      </c>
      <c r="BF73" s="328">
        <v>81038.145161290318</v>
      </c>
      <c r="BG73" s="328">
        <v>79961.224798387091</v>
      </c>
      <c r="BH73" s="328">
        <v>79961.224798387091</v>
      </c>
      <c r="BI73" s="328">
        <v>79961.224798387091</v>
      </c>
      <c r="BJ73" s="328">
        <v>77660.846774193546</v>
      </c>
      <c r="BK73" s="328">
        <v>72853.889616935485</v>
      </c>
      <c r="BL73" s="328">
        <v>70820.866935483864</v>
      </c>
      <c r="BM73" s="328">
        <v>71429.147177419349</v>
      </c>
      <c r="BN73" s="328">
        <v>70584.057459677424</v>
      </c>
      <c r="BO73" s="328">
        <v>70105.042002688162</v>
      </c>
      <c r="BP73" s="328">
        <v>67182.930947580651</v>
      </c>
      <c r="BQ73" s="328">
        <v>66724.662298387091</v>
      </c>
      <c r="BR73" s="328">
        <v>67824.059979838712</v>
      </c>
      <c r="BS73" s="328">
        <v>68500.904737903227</v>
      </c>
      <c r="BT73" s="328">
        <v>68724.480846774197</v>
      </c>
      <c r="BU73" s="328">
        <v>66429.480846774182</v>
      </c>
      <c r="BV73" s="328">
        <v>63588.351814516129</v>
      </c>
      <c r="BW73" s="328">
        <v>66402.384072580651</v>
      </c>
      <c r="BX73" s="328">
        <v>70905.260416666657</v>
      </c>
      <c r="BY73" s="328">
        <v>72930.645161290318</v>
      </c>
      <c r="BZ73" s="328">
        <v>74167.31182795699</v>
      </c>
      <c r="CA73" s="328">
        <v>76190.645161290318</v>
      </c>
      <c r="CB73" s="328">
        <v>78563.440860215051</v>
      </c>
      <c r="CC73" s="328">
        <v>82576.774193548394</v>
      </c>
      <c r="CD73" s="328">
        <v>83057.285786290318</v>
      </c>
      <c r="CE73" s="328">
        <v>87461.036626344096</v>
      </c>
      <c r="CF73" s="328">
        <v>95744.682459677424</v>
      </c>
      <c r="CG73" s="328">
        <v>100247.4932795699</v>
      </c>
      <c r="CH73" s="328">
        <v>93822.923387096787</v>
      </c>
      <c r="CI73" s="328">
        <v>89059.213709677409</v>
      </c>
      <c r="CJ73" s="328">
        <v>89672.547043010738</v>
      </c>
      <c r="CK73" s="328">
        <v>92655.342741935485</v>
      </c>
      <c r="CL73" s="328">
        <v>93595.342741935485</v>
      </c>
      <c r="CM73" s="328">
        <f t="shared" ref="CM73:CM74" si="89">AVERAGE(G73:CL73)</f>
        <v>80296.705365376722</v>
      </c>
    </row>
    <row r="74" spans="1:178">
      <c r="F74" s="330" t="s">
        <v>406</v>
      </c>
      <c r="G74" s="330"/>
      <c r="H74" s="330"/>
      <c r="I74" s="330"/>
      <c r="J74" s="330"/>
      <c r="K74" s="330"/>
      <c r="L74" s="330"/>
      <c r="M74" s="330"/>
      <c r="N74" s="330"/>
      <c r="O74" s="330"/>
      <c r="P74" s="330"/>
      <c r="Q74" s="330"/>
      <c r="R74" s="330"/>
      <c r="S74" s="331">
        <v>73130.399999999994</v>
      </c>
      <c r="T74" s="331">
        <v>75137.399999999994</v>
      </c>
      <c r="U74" s="331">
        <v>70196.399999999994</v>
      </c>
      <c r="V74" s="331">
        <v>67642.2</v>
      </c>
      <c r="W74" s="331">
        <v>66744</v>
      </c>
      <c r="X74" s="331">
        <v>71694.899999999994</v>
      </c>
      <c r="Y74" s="331">
        <v>73773</v>
      </c>
      <c r="Z74" s="331">
        <v>70695</v>
      </c>
      <c r="AA74" s="331">
        <v>66735</v>
      </c>
      <c r="AB74" s="331">
        <v>72495</v>
      </c>
      <c r="AC74" s="331">
        <v>71613</v>
      </c>
      <c r="AD74" s="331">
        <v>71172</v>
      </c>
      <c r="AE74" s="331">
        <v>69300</v>
      </c>
      <c r="AF74" s="331">
        <v>71055</v>
      </c>
      <c r="AG74" s="331">
        <v>71055</v>
      </c>
      <c r="AH74" s="331">
        <v>75069</v>
      </c>
      <c r="AI74" s="331">
        <v>75069</v>
      </c>
      <c r="AJ74" s="331">
        <v>78147</v>
      </c>
      <c r="AK74" s="331">
        <v>74601</v>
      </c>
      <c r="AL74" s="331">
        <v>73314</v>
      </c>
      <c r="AM74" s="331">
        <v>73314</v>
      </c>
      <c r="AN74" s="331">
        <v>71992.800000000003</v>
      </c>
      <c r="AO74" s="331">
        <v>74170.8</v>
      </c>
      <c r="AP74" s="331">
        <v>75970.8</v>
      </c>
      <c r="AQ74" s="331">
        <v>79579.8</v>
      </c>
      <c r="AR74" s="331">
        <v>78679.8</v>
      </c>
      <c r="AS74" s="331">
        <v>78679.8</v>
      </c>
      <c r="AT74" s="332">
        <v>82316.144548146898</v>
      </c>
      <c r="AU74" s="333">
        <v>87120.247838398529</v>
      </c>
      <c r="AV74" s="333">
        <v>88230.55929702321</v>
      </c>
      <c r="AW74" s="333">
        <v>88137.702676638582</v>
      </c>
      <c r="AX74" s="333">
        <v>90726.081075997456</v>
      </c>
      <c r="AY74" s="333">
        <v>93640.936364928682</v>
      </c>
      <c r="AZ74" s="333">
        <v>92952.565226764884</v>
      </c>
      <c r="BA74" s="333">
        <v>90410.936364928682</v>
      </c>
      <c r="BB74" s="333">
        <v>92250.936364928682</v>
      </c>
      <c r="BC74" s="333">
        <v>94825.936364928682</v>
      </c>
      <c r="BD74" s="333">
        <v>91827.603031595354</v>
      </c>
      <c r="BE74" s="333">
        <v>79800.936364928682</v>
      </c>
      <c r="BF74" s="333">
        <v>79925.936364928668</v>
      </c>
      <c r="BG74" s="333">
        <v>82092.565226764898</v>
      </c>
      <c r="BH74" s="333">
        <v>83705.936364928682</v>
      </c>
      <c r="BI74" s="333">
        <v>86337.244991853178</v>
      </c>
      <c r="BJ74" s="333">
        <v>88343.09322299331</v>
      </c>
      <c r="BK74" s="333">
        <v>84371.0867978694</v>
      </c>
      <c r="BL74" s="333">
        <v>82533.667556645247</v>
      </c>
      <c r="BM74" s="333">
        <v>83915.296418481477</v>
      </c>
      <c r="BN74" s="333">
        <v>85998.353851846667</v>
      </c>
      <c r="BO74" s="333">
        <v>83680.839372426868</v>
      </c>
      <c r="BP74" s="333">
        <v>78296.420131202744</v>
      </c>
      <c r="BQ74" s="333">
        <v>74908.667556645261</v>
      </c>
      <c r="BR74" s="333">
        <v>75368.667556645261</v>
      </c>
      <c r="BS74" s="333">
        <v>74755.334223311933</v>
      </c>
      <c r="BT74" s="333">
        <v>71698.667556645261</v>
      </c>
      <c r="BU74" s="333">
        <v>67093.667556645261</v>
      </c>
      <c r="BV74" s="333">
        <v>66173.667556645261</v>
      </c>
      <c r="BW74" s="333">
        <v>70296.297866503111</v>
      </c>
      <c r="BX74" s="333">
        <v>73811.225510968739</v>
      </c>
      <c r="BY74" s="333">
        <v>73104.932138219243</v>
      </c>
      <c r="BZ74" s="333">
        <v>73109.932138219243</v>
      </c>
      <c r="CA74" s="333">
        <v>76518.265471552571</v>
      </c>
      <c r="CB74" s="333">
        <v>82074.932138219243</v>
      </c>
      <c r="CC74" s="333">
        <v>90244.932138219243</v>
      </c>
      <c r="CD74" s="333">
        <v>93047.449038505991</v>
      </c>
      <c r="CE74" s="333">
        <v>98603.920574120828</v>
      </c>
      <c r="CF74" s="333">
        <v>112597.05572119531</v>
      </c>
      <c r="CG74" s="333">
        <v>112518.32981716725</v>
      </c>
      <c r="CH74" s="333">
        <v>106216.66315050058</v>
      </c>
      <c r="CI74" s="333">
        <v>98978.114255042339</v>
      </c>
      <c r="CJ74" s="333">
        <v>99434.349797459188</v>
      </c>
      <c r="CK74" s="333">
        <v>103781.54397226339</v>
      </c>
      <c r="CL74" s="333">
        <v>105181.5439722634</v>
      </c>
      <c r="CM74" s="333">
        <f t="shared" si="89"/>
        <v>81416.46229897374</v>
      </c>
    </row>
    <row r="75" spans="1:178">
      <c r="F75" s="293"/>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33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336"/>
    </row>
    <row r="76" spans="1:178">
      <c r="A76" s="337"/>
    </row>
  </sheetData>
  <mergeCells count="14">
    <mergeCell ref="A2:A6"/>
    <mergeCell ref="A7:A11"/>
    <mergeCell ref="A12:A15"/>
    <mergeCell ref="E12:E15"/>
    <mergeCell ref="A16:A22"/>
    <mergeCell ref="E16:E22"/>
    <mergeCell ref="A69:E69"/>
    <mergeCell ref="A70:E70"/>
    <mergeCell ref="A23:A33"/>
    <mergeCell ref="A34:A40"/>
    <mergeCell ref="E34:E40"/>
    <mergeCell ref="A42:A43"/>
    <mergeCell ref="D56:D57"/>
    <mergeCell ref="A59:E68"/>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1CCF-1F7E-4AC5-B774-9DF074A014AD}">
  <sheetPr codeName="Sheet27"/>
  <dimension ref="A1:AN37"/>
  <sheetViews>
    <sheetView showGridLines="0" workbookViewId="0">
      <selection activeCell="E43" sqref="E43"/>
    </sheetView>
  </sheetViews>
  <sheetFormatPr defaultRowHeight="12"/>
  <cols>
    <col min="1" max="1" width="30.5703125" style="241" bestFit="1" customWidth="1"/>
    <col min="2" max="3" width="19.140625" style="241" bestFit="1" customWidth="1"/>
    <col min="4" max="4" width="11.140625" style="241" bestFit="1" customWidth="1"/>
    <col min="5" max="5" width="9.85546875" style="241" bestFit="1" customWidth="1"/>
    <col min="6" max="6" width="24" style="241" hidden="1" customWidth="1"/>
    <col min="7" max="7" width="29.140625" style="241" bestFit="1" customWidth="1"/>
    <col min="8" max="8" width="15.140625" style="241" customWidth="1"/>
    <col min="9" max="9" width="12.28515625" style="241" bestFit="1" customWidth="1"/>
    <col min="10" max="10" width="10.7109375" style="241" customWidth="1"/>
    <col min="11" max="11" width="10.5703125" style="241" customWidth="1"/>
    <col min="12" max="13" width="9.28515625" style="241" bestFit="1" customWidth="1"/>
    <col min="14" max="14" width="12.7109375" style="241" bestFit="1" customWidth="1"/>
    <col min="15" max="19" width="12.5703125" style="241" customWidth="1"/>
    <col min="20" max="20" width="9.140625" style="241"/>
    <col min="21" max="21" width="0" style="241" hidden="1" customWidth="1"/>
    <col min="22" max="22" width="12.5703125" style="248" hidden="1" customWidth="1"/>
    <col min="23" max="24" width="9.140625" style="248" hidden="1" customWidth="1"/>
    <col min="25" max="25" width="11.7109375" style="248" hidden="1" customWidth="1"/>
    <col min="26" max="40" width="9.140625" style="248" hidden="1" customWidth="1"/>
    <col min="41" max="41" width="0" style="241" hidden="1" customWidth="1"/>
    <col min="42" max="16384" width="9.140625" style="241"/>
  </cols>
  <sheetData>
    <row r="1" spans="1:40">
      <c r="A1" s="252" t="s">
        <v>595</v>
      </c>
      <c r="G1" s="252" t="s">
        <v>596</v>
      </c>
      <c r="V1" s="251">
        <v>12</v>
      </c>
      <c r="W1" s="248">
        <v>-560.28072146136765</v>
      </c>
      <c r="Y1" s="251">
        <v>12</v>
      </c>
      <c r="Z1" s="248">
        <v>-28.368635419760267</v>
      </c>
      <c r="AB1" s="251">
        <v>12</v>
      </c>
      <c r="AC1" s="248">
        <v>12.848301537703719</v>
      </c>
      <c r="AG1" s="251">
        <v>12</v>
      </c>
      <c r="AH1" s="248">
        <v>3497.1507519116394</v>
      </c>
      <c r="AJ1" s="251">
        <v>12</v>
      </c>
      <c r="AK1" s="248">
        <v>3455.9338149541754</v>
      </c>
      <c r="AM1" s="251">
        <v>12</v>
      </c>
      <c r="AN1" s="248">
        <v>2924.0217289125681</v>
      </c>
    </row>
    <row r="2" spans="1:40">
      <c r="A2" s="246" t="s">
        <v>4</v>
      </c>
      <c r="B2" s="247" t="s">
        <v>164</v>
      </c>
      <c r="C2" s="247" t="s">
        <v>165</v>
      </c>
      <c r="D2" s="247" t="s">
        <v>166</v>
      </c>
      <c r="E2" s="247" t="s">
        <v>1</v>
      </c>
      <c r="F2" s="253"/>
      <c r="G2" s="246" t="s">
        <v>4</v>
      </c>
      <c r="H2" s="247" t="s">
        <v>164</v>
      </c>
      <c r="I2" s="247" t="s">
        <v>165</v>
      </c>
      <c r="J2" s="247" t="s">
        <v>166</v>
      </c>
      <c r="K2" s="247" t="s">
        <v>1</v>
      </c>
      <c r="V2" s="251">
        <v>12.5</v>
      </c>
      <c r="W2" s="248">
        <v>-628.24943082097343</v>
      </c>
      <c r="Y2" s="251">
        <v>12.5</v>
      </c>
      <c r="Z2" s="248">
        <v>-122.59996546902266</v>
      </c>
      <c r="AB2" s="251">
        <v>12.5</v>
      </c>
      <c r="AC2" s="248">
        <v>-96.756695506630876</v>
      </c>
      <c r="AG2" s="251">
        <v>12.5</v>
      </c>
      <c r="AH2" s="248">
        <v>3387.5457548673048</v>
      </c>
      <c r="AJ2" s="251">
        <v>12.5</v>
      </c>
      <c r="AK2" s="248">
        <v>3361.702484904913</v>
      </c>
      <c r="AM2" s="251">
        <v>12.5</v>
      </c>
      <c r="AN2" s="248">
        <v>2856.0530195529623</v>
      </c>
    </row>
    <row r="3" spans="1:40">
      <c r="A3" s="249" t="s">
        <v>203</v>
      </c>
      <c r="B3" s="254">
        <v>0.82</v>
      </c>
      <c r="C3" s="255">
        <v>0.46</v>
      </c>
      <c r="D3" s="254">
        <v>0.33</v>
      </c>
      <c r="E3" s="254">
        <v>0.32</v>
      </c>
      <c r="G3" s="249" t="s">
        <v>203</v>
      </c>
      <c r="H3" s="256">
        <v>0.82</v>
      </c>
      <c r="I3" s="256">
        <v>0.46</v>
      </c>
      <c r="J3" s="256">
        <v>0.33</v>
      </c>
      <c r="K3" s="256">
        <v>0.308</v>
      </c>
      <c r="L3" s="250"/>
      <c r="M3" s="250"/>
      <c r="N3" s="250"/>
      <c r="O3" s="250"/>
      <c r="P3" s="250"/>
      <c r="Q3" s="250"/>
      <c r="R3" s="250"/>
      <c r="S3" s="250"/>
      <c r="V3" s="251">
        <v>13</v>
      </c>
      <c r="W3" s="248">
        <v>-696.21814018057921</v>
      </c>
      <c r="Y3" s="251">
        <v>13</v>
      </c>
      <c r="Z3" s="248">
        <v>-216.83129551828324</v>
      </c>
      <c r="AB3" s="251">
        <v>13</v>
      </c>
      <c r="AC3" s="248">
        <v>-206.36169255096547</v>
      </c>
      <c r="AG3" s="251">
        <v>13</v>
      </c>
      <c r="AH3" s="248">
        <v>3277.9407578229702</v>
      </c>
      <c r="AJ3" s="251">
        <v>13</v>
      </c>
      <c r="AK3" s="248">
        <v>3267.4711548556525</v>
      </c>
      <c r="AM3" s="251">
        <v>13</v>
      </c>
      <c r="AN3" s="248">
        <v>2788.0843101933565</v>
      </c>
    </row>
    <row r="4" spans="1:40">
      <c r="A4" s="249" t="s">
        <v>204</v>
      </c>
      <c r="B4" s="254">
        <v>0.01</v>
      </c>
      <c r="C4" s="255">
        <v>0.24</v>
      </c>
      <c r="D4" s="254">
        <v>0.24</v>
      </c>
      <c r="E4" s="254">
        <v>0.193</v>
      </c>
      <c r="G4" s="249" t="s">
        <v>204</v>
      </c>
      <c r="H4" s="256">
        <v>0.01</v>
      </c>
      <c r="I4" s="256">
        <v>0.24</v>
      </c>
      <c r="J4" s="256">
        <v>0.24</v>
      </c>
      <c r="K4" s="256">
        <v>0.224</v>
      </c>
      <c r="L4" s="250"/>
      <c r="M4" s="250"/>
      <c r="N4" s="250"/>
      <c r="O4" s="250"/>
      <c r="P4" s="250"/>
      <c r="Q4" s="250"/>
      <c r="R4" s="250"/>
      <c r="S4" s="250"/>
      <c r="V4" s="251">
        <v>13.5</v>
      </c>
      <c r="W4" s="248">
        <v>-764.1868495401859</v>
      </c>
      <c r="Y4" s="251">
        <v>13.5</v>
      </c>
      <c r="Z4" s="248">
        <v>-311.06262556754564</v>
      </c>
      <c r="AB4" s="251">
        <v>13.5</v>
      </c>
      <c r="AC4" s="248">
        <v>-315.96668959530007</v>
      </c>
      <c r="AG4" s="251">
        <v>13.5</v>
      </c>
      <c r="AH4" s="248">
        <v>3168.3357607786356</v>
      </c>
      <c r="AJ4" s="251">
        <v>13.5</v>
      </c>
      <c r="AK4" s="248">
        <v>3173.2398248063901</v>
      </c>
      <c r="AM4" s="251">
        <v>13.5</v>
      </c>
      <c r="AN4" s="248">
        <v>2720.1156008337498</v>
      </c>
    </row>
    <row r="5" spans="1:40">
      <c r="A5" s="249" t="s">
        <v>8</v>
      </c>
      <c r="B5" s="254">
        <v>1.8E-3</v>
      </c>
      <c r="C5" s="255">
        <v>0.01</v>
      </c>
      <c r="D5" s="254">
        <v>0.01</v>
      </c>
      <c r="E5" s="254">
        <v>3.5999999999999997E-2</v>
      </c>
      <c r="G5" s="249" t="s">
        <v>8</v>
      </c>
      <c r="H5" s="256">
        <v>1.8E-3</v>
      </c>
      <c r="I5" s="256">
        <v>0.01</v>
      </c>
      <c r="J5" s="256">
        <v>0.01</v>
      </c>
      <c r="K5" s="256">
        <v>3.6999999999999998E-2</v>
      </c>
      <c r="L5" s="250"/>
      <c r="M5" s="250"/>
      <c r="N5" s="250"/>
      <c r="O5" s="250"/>
      <c r="P5" s="250"/>
      <c r="Q5" s="250"/>
      <c r="R5" s="250"/>
      <c r="S5" s="250"/>
      <c r="V5" s="251">
        <v>14</v>
      </c>
      <c r="W5" s="248">
        <v>-832.15555889979169</v>
      </c>
      <c r="Y5" s="251">
        <v>14</v>
      </c>
      <c r="Z5" s="248">
        <v>-405.29395561680622</v>
      </c>
      <c r="AB5" s="251">
        <v>14</v>
      </c>
      <c r="AC5" s="248">
        <v>-425.57168663963648</v>
      </c>
      <c r="AG5" s="251">
        <v>14</v>
      </c>
      <c r="AH5" s="248">
        <v>3058.7307637342992</v>
      </c>
      <c r="AJ5" s="251">
        <v>14</v>
      </c>
      <c r="AK5" s="248">
        <v>3079.0084947571295</v>
      </c>
      <c r="AM5" s="251">
        <v>14</v>
      </c>
      <c r="AN5" s="248">
        <v>2652.146891474144</v>
      </c>
    </row>
    <row r="6" spans="1:40">
      <c r="A6" s="249" t="s">
        <v>3</v>
      </c>
      <c r="B6" s="254">
        <v>3.2399999999999998E-3</v>
      </c>
      <c r="C6" s="255">
        <v>4.7999999999999996E-3</v>
      </c>
      <c r="D6" s="254">
        <v>2.2800000000000001E-2</v>
      </c>
      <c r="E6" s="254">
        <v>8.2799999999999985E-2</v>
      </c>
      <c r="G6" s="249" t="s">
        <v>3</v>
      </c>
      <c r="H6" s="256">
        <v>2.7000000000000001E-3</v>
      </c>
      <c r="I6" s="256">
        <v>4.0000000000000001E-3</v>
      </c>
      <c r="J6" s="256">
        <v>1.9000000000000003E-2</v>
      </c>
      <c r="K6" s="256">
        <v>8.5880000000000012E-2</v>
      </c>
      <c r="L6" s="250"/>
      <c r="M6" s="250"/>
      <c r="N6" s="250"/>
      <c r="O6" s="250"/>
      <c r="P6" s="250"/>
      <c r="Q6" s="250"/>
      <c r="R6" s="250"/>
      <c r="S6" s="250"/>
      <c r="V6" s="251">
        <v>14.5</v>
      </c>
      <c r="W6" s="248">
        <v>-900.12426825939747</v>
      </c>
      <c r="Y6" s="251">
        <v>14.5</v>
      </c>
      <c r="Z6" s="248">
        <v>-499.52528566606679</v>
      </c>
      <c r="AB6" s="251">
        <v>14.5</v>
      </c>
      <c r="AC6" s="248">
        <v>-535.17668368397108</v>
      </c>
      <c r="AG6" s="251">
        <v>14.5</v>
      </c>
      <c r="AH6" s="248">
        <v>2949.1257666899646</v>
      </c>
      <c r="AJ6" s="251">
        <v>14.5</v>
      </c>
      <c r="AK6" s="248">
        <v>2984.7771647078689</v>
      </c>
      <c r="AM6" s="251">
        <v>14.5</v>
      </c>
      <c r="AN6" s="248">
        <v>2584.1781821145382</v>
      </c>
    </row>
    <row r="7" spans="1:40">
      <c r="A7" s="249" t="s">
        <v>154</v>
      </c>
      <c r="B7" s="254">
        <v>1.3617499999999999E-2</v>
      </c>
      <c r="C7" s="255">
        <v>1.4665000000000001E-2</v>
      </c>
      <c r="D7" s="254">
        <v>0.12989000000000001</v>
      </c>
      <c r="E7" s="254">
        <v>5.4889E-2</v>
      </c>
      <c r="G7" s="249" t="s">
        <v>154</v>
      </c>
      <c r="H7" s="256">
        <v>1.3000000000000001E-2</v>
      </c>
      <c r="I7" s="256">
        <v>1.4000000000000002E-2</v>
      </c>
      <c r="J7" s="256">
        <v>0.124</v>
      </c>
      <c r="K7" s="256">
        <v>6.5600000000000006E-2</v>
      </c>
      <c r="L7" s="250"/>
      <c r="M7" s="250"/>
      <c r="N7" s="250"/>
      <c r="O7" s="250"/>
      <c r="P7" s="250"/>
      <c r="Q7" s="250"/>
      <c r="R7" s="250"/>
      <c r="S7" s="250"/>
      <c r="V7" s="251">
        <v>15</v>
      </c>
      <c r="W7" s="248">
        <v>-968.09297761900234</v>
      </c>
      <c r="Y7" s="251">
        <v>15</v>
      </c>
      <c r="Z7" s="248">
        <v>-593.75661571532737</v>
      </c>
      <c r="AB7" s="251">
        <v>15</v>
      </c>
      <c r="AC7" s="248">
        <v>-644.78168072830567</v>
      </c>
      <c r="AG7" s="251">
        <v>15</v>
      </c>
      <c r="AH7" s="248">
        <v>2839.52076964563</v>
      </c>
      <c r="AJ7" s="251">
        <v>15</v>
      </c>
      <c r="AK7" s="248">
        <v>2890.5458346586083</v>
      </c>
      <c r="AM7" s="251">
        <v>15</v>
      </c>
      <c r="AN7" s="248">
        <v>2516.2094727549334</v>
      </c>
    </row>
    <row r="8" spans="1:40">
      <c r="A8" s="249" t="s">
        <v>155</v>
      </c>
      <c r="B8" s="254">
        <v>3.6450000000000002E-3</v>
      </c>
      <c r="C8" s="255">
        <v>5.4000000000000003E-3</v>
      </c>
      <c r="D8" s="254">
        <v>2.5650000000000003E-2</v>
      </c>
      <c r="E8" s="254">
        <v>9.3149999999999997E-2</v>
      </c>
      <c r="G8" s="249" t="s">
        <v>155</v>
      </c>
      <c r="H8" s="256">
        <v>3.2399999999999998E-3</v>
      </c>
      <c r="I8" s="256">
        <v>4.7999999999999996E-3</v>
      </c>
      <c r="J8" s="256">
        <v>2.2800000000000001E-2</v>
      </c>
      <c r="K8" s="256">
        <v>0.10305599999999999</v>
      </c>
      <c r="L8" s="250"/>
      <c r="M8" s="250"/>
      <c r="N8" s="250"/>
      <c r="O8" s="250"/>
      <c r="P8" s="250"/>
      <c r="Q8" s="250"/>
      <c r="R8" s="250"/>
      <c r="S8" s="250"/>
    </row>
    <row r="9" spans="1:40">
      <c r="A9" s="249" t="s">
        <v>9</v>
      </c>
      <c r="B9" s="254">
        <v>6.1051999999999995E-2</v>
      </c>
      <c r="C9" s="254">
        <v>1.4355999999999999E-2</v>
      </c>
      <c r="D9" s="254">
        <v>1.8537999999999999E-2</v>
      </c>
      <c r="E9" s="254">
        <v>1.1452E-2</v>
      </c>
      <c r="G9" s="249" t="s">
        <v>9</v>
      </c>
      <c r="H9" s="256">
        <v>6.1051999999999995E-2</v>
      </c>
      <c r="I9" s="256">
        <v>1.4355999999999999E-2</v>
      </c>
      <c r="J9" s="256">
        <v>1.8537999999999999E-2</v>
      </c>
      <c r="K9" s="256">
        <v>1.45688E-2</v>
      </c>
      <c r="L9" s="250"/>
      <c r="M9" s="250"/>
      <c r="N9" s="250"/>
      <c r="O9" s="250"/>
      <c r="P9" s="250"/>
      <c r="Q9" s="250"/>
      <c r="R9" s="250"/>
      <c r="S9" s="250"/>
    </row>
    <row r="10" spans="1:40">
      <c r="A10" s="249" t="s">
        <v>156</v>
      </c>
      <c r="B10" s="254">
        <v>1.1479999999999999E-3</v>
      </c>
      <c r="C10" s="254">
        <v>6.4400000000000004E-4</v>
      </c>
      <c r="D10" s="254">
        <v>4.6200000000000001E-4</v>
      </c>
      <c r="E10" s="254">
        <v>4.4799999999999999E-4</v>
      </c>
      <c r="G10" s="249" t="s">
        <v>156</v>
      </c>
      <c r="H10" s="256">
        <v>1.1479999999999999E-3</v>
      </c>
      <c r="I10" s="256">
        <v>6.4400000000000004E-4</v>
      </c>
      <c r="J10" s="256">
        <v>4.6200000000000001E-4</v>
      </c>
      <c r="K10" s="256">
        <v>4.3119999999999996E-4</v>
      </c>
      <c r="L10" s="250"/>
      <c r="M10" s="250"/>
      <c r="N10" s="250"/>
      <c r="O10" s="250"/>
      <c r="P10" s="250"/>
      <c r="Q10" s="250"/>
      <c r="R10" s="250"/>
      <c r="S10" s="250"/>
    </row>
    <row r="11" spans="1:40">
      <c r="A11" s="249" t="s">
        <v>10</v>
      </c>
      <c r="B11" s="254">
        <v>1.0935000000000001E-3</v>
      </c>
      <c r="C11" s="255">
        <v>1.6200000000000001E-3</v>
      </c>
      <c r="D11" s="254">
        <v>7.6950000000000005E-3</v>
      </c>
      <c r="E11" s="254">
        <v>2.7944999999999998E-2</v>
      </c>
      <c r="G11" s="249" t="s">
        <v>10</v>
      </c>
      <c r="H11" s="256">
        <v>5.8319999999999997E-4</v>
      </c>
      <c r="I11" s="256">
        <v>8.6399999999999986E-4</v>
      </c>
      <c r="J11" s="256">
        <v>4.104E-3</v>
      </c>
      <c r="K11" s="256">
        <v>1.855008E-2</v>
      </c>
      <c r="L11" s="250"/>
      <c r="M11" s="250"/>
      <c r="N11" s="250"/>
      <c r="O11" s="250"/>
      <c r="P11" s="250"/>
      <c r="Q11" s="250"/>
      <c r="R11" s="250"/>
      <c r="S11" s="250"/>
      <c r="V11" s="248" t="s">
        <v>108</v>
      </c>
      <c r="Y11" s="248" t="s">
        <v>205</v>
      </c>
      <c r="AB11" s="248" t="s">
        <v>206</v>
      </c>
      <c r="AG11" s="248" t="s">
        <v>108</v>
      </c>
      <c r="AJ11" s="248" t="s">
        <v>205</v>
      </c>
      <c r="AM11" s="248" t="s">
        <v>206</v>
      </c>
    </row>
    <row r="12" spans="1:40">
      <c r="A12" s="249" t="s">
        <v>157</v>
      </c>
      <c r="B12" s="254">
        <v>0.06</v>
      </c>
      <c r="C12" s="254">
        <v>0.22</v>
      </c>
      <c r="D12" s="254">
        <v>0.28899999999999998</v>
      </c>
      <c r="E12" s="254">
        <v>0.15920000000000001</v>
      </c>
      <c r="G12" s="249" t="s">
        <v>157</v>
      </c>
      <c r="H12" s="256">
        <v>0.06</v>
      </c>
      <c r="I12" s="256">
        <v>0.22</v>
      </c>
      <c r="J12" s="256">
        <v>0.28899999999999998</v>
      </c>
      <c r="K12" s="256">
        <v>0.17399999999999999</v>
      </c>
      <c r="L12" s="250"/>
      <c r="M12" s="250"/>
      <c r="N12" s="250"/>
      <c r="O12" s="250"/>
      <c r="P12" s="250"/>
      <c r="Q12" s="250"/>
      <c r="R12" s="250"/>
      <c r="S12" s="250"/>
      <c r="V12" s="248" t="s">
        <v>207</v>
      </c>
      <c r="W12" s="248" t="s">
        <v>201</v>
      </c>
      <c r="Y12" s="248" t="s">
        <v>208</v>
      </c>
      <c r="Z12" s="248" t="s">
        <v>201</v>
      </c>
      <c r="AB12" s="248" t="s">
        <v>200</v>
      </c>
      <c r="AC12" s="248" t="s">
        <v>201</v>
      </c>
      <c r="AG12" s="248" t="s">
        <v>207</v>
      </c>
      <c r="AH12" s="248" t="s">
        <v>202</v>
      </c>
      <c r="AJ12" s="248" t="s">
        <v>208</v>
      </c>
      <c r="AK12" s="248" t="s">
        <v>202</v>
      </c>
      <c r="AM12" s="248" t="s">
        <v>200</v>
      </c>
      <c r="AN12" s="248" t="s">
        <v>202</v>
      </c>
    </row>
    <row r="13" spans="1:40">
      <c r="A13" s="249" t="s">
        <v>159</v>
      </c>
      <c r="B13" s="254">
        <v>2.4404000000000092E-2</v>
      </c>
      <c r="C13" s="254">
        <v>2.8515000000000068E-2</v>
      </c>
      <c r="D13" s="254">
        <v>-7.4034999999999851E-2</v>
      </c>
      <c r="E13" s="254">
        <v>2.1116000000000024E-2</v>
      </c>
      <c r="G13" s="249" t="s">
        <v>159</v>
      </c>
      <c r="H13" s="256">
        <v>2.6476799999999967E-2</v>
      </c>
      <c r="I13" s="256">
        <v>3.133600000000003E-2</v>
      </c>
      <c r="J13" s="256">
        <v>-5.7904000000000178E-2</v>
      </c>
      <c r="K13" s="256">
        <v>-3.1086080000000127E-2</v>
      </c>
      <c r="L13" s="250"/>
      <c r="M13" s="250"/>
      <c r="N13" s="250"/>
      <c r="O13" s="250"/>
      <c r="P13" s="250"/>
      <c r="Q13" s="250"/>
      <c r="R13" s="250"/>
      <c r="S13" s="250"/>
      <c r="W13" s="248" t="e">
        <v>#REF!</v>
      </c>
      <c r="Z13" s="248" t="e">
        <v>#REF!</v>
      </c>
      <c r="AC13" s="248" t="e">
        <v>#REF!</v>
      </c>
      <c r="AH13" s="248" t="e">
        <v>#REF!</v>
      </c>
      <c r="AK13" s="248" t="e">
        <v>#REF!</v>
      </c>
      <c r="AN13" s="248" t="e">
        <v>#REF!</v>
      </c>
    </row>
    <row r="14" spans="1:40">
      <c r="C14" s="245"/>
      <c r="V14" s="248">
        <v>375</v>
      </c>
      <c r="W14" s="248">
        <v>311.54880975387823</v>
      </c>
      <c r="Y14" s="248">
        <v>375</v>
      </c>
      <c r="Z14" s="248">
        <v>425.09194846986247</v>
      </c>
      <c r="AB14" s="248">
        <v>250</v>
      </c>
      <c r="AC14" s="248">
        <v>963.70424108863199</v>
      </c>
      <c r="AG14" s="248">
        <v>375</v>
      </c>
      <c r="AH14" s="248">
        <v>5269.9162601278131</v>
      </c>
      <c r="AJ14" s="248">
        <v>375</v>
      </c>
      <c r="AK14" s="248">
        <v>4092.7243988437981</v>
      </c>
      <c r="AM14" s="248">
        <v>250</v>
      </c>
      <c r="AN14" s="248">
        <v>4024.9390384182329</v>
      </c>
    </row>
    <row r="15" spans="1:40">
      <c r="A15" s="249" t="s">
        <v>145</v>
      </c>
      <c r="B15" s="254">
        <f>(B3/(B$3+B$4))</f>
        <v>0.98795180722891562</v>
      </c>
      <c r="C15" s="254">
        <f>(C3/(C$3+C$4))</f>
        <v>0.65714285714285725</v>
      </c>
      <c r="D15" s="254">
        <f>(D3/(D$3+D$4))</f>
        <v>0.57894736842105254</v>
      </c>
      <c r="E15" s="254">
        <f>(E3/(E$3+E$4))</f>
        <v>0.62378167641325533</v>
      </c>
      <c r="H15" s="254">
        <f>(H3/(H$3+H$4))</f>
        <v>0.98795180722891562</v>
      </c>
      <c r="I15" s="254">
        <f>(I3/(I$3+I$4))</f>
        <v>0.65714285714285725</v>
      </c>
      <c r="J15" s="254">
        <f>(J3/(J$3+J$4))</f>
        <v>0.57894736842105254</v>
      </c>
      <c r="K15" s="254">
        <f>(K3/(K$3+K$4))</f>
        <v>0.57894736842105254</v>
      </c>
      <c r="V15" s="248">
        <v>400</v>
      </c>
      <c r="W15" s="248">
        <v>232.9113097538775</v>
      </c>
      <c r="Y15" s="248">
        <v>400</v>
      </c>
      <c r="Z15" s="248">
        <v>348.96694846986247</v>
      </c>
      <c r="AB15" s="248">
        <v>275</v>
      </c>
      <c r="AC15" s="248">
        <v>817.00424108863126</v>
      </c>
      <c r="AG15" s="248">
        <v>400</v>
      </c>
      <c r="AH15" s="248">
        <v>4889.2162601278142</v>
      </c>
      <c r="AJ15" s="248">
        <v>400</v>
      </c>
      <c r="AK15" s="248">
        <v>3962.0368988437981</v>
      </c>
      <c r="AM15" s="248">
        <v>275</v>
      </c>
      <c r="AN15" s="248">
        <v>3947.6144078763605</v>
      </c>
    </row>
    <row r="16" spans="1:40">
      <c r="A16" s="249" t="s">
        <v>2</v>
      </c>
      <c r="B16" s="254">
        <f>1-B15</f>
        <v>1.2048192771084376E-2</v>
      </c>
      <c r="C16" s="254">
        <f>1-C15</f>
        <v>0.34285714285714275</v>
      </c>
      <c r="D16" s="254">
        <f>1-D15</f>
        <v>0.42105263157894746</v>
      </c>
      <c r="E16" s="254">
        <f>1-E15</f>
        <v>0.37621832358674467</v>
      </c>
      <c r="H16" s="254">
        <f>1-H15</f>
        <v>1.2048192771084376E-2</v>
      </c>
      <c r="I16" s="254">
        <f>1-I15</f>
        <v>0.34285714285714275</v>
      </c>
      <c r="J16" s="254">
        <f>1-J15</f>
        <v>0.42105263157894746</v>
      </c>
      <c r="K16" s="254">
        <f>1-K15</f>
        <v>0.42105263157894746</v>
      </c>
      <c r="V16" s="248">
        <v>425</v>
      </c>
      <c r="W16" s="248">
        <v>154.27380975387678</v>
      </c>
      <c r="Y16" s="248">
        <v>425</v>
      </c>
      <c r="Z16" s="248">
        <v>272.84194846986247</v>
      </c>
      <c r="AB16" s="248">
        <v>300</v>
      </c>
      <c r="AC16" s="248">
        <v>670.30424108863235</v>
      </c>
      <c r="AG16" s="248">
        <v>425</v>
      </c>
      <c r="AH16" s="248">
        <v>4508.5162601278134</v>
      </c>
      <c r="AJ16" s="248">
        <v>425</v>
      </c>
      <c r="AK16" s="248">
        <v>3831.3493988437981</v>
      </c>
      <c r="AM16" s="248">
        <v>300</v>
      </c>
      <c r="AN16" s="248">
        <v>3870.289777334488</v>
      </c>
    </row>
    <row r="17" spans="1:40" hidden="1">
      <c r="V17" s="248">
        <v>450</v>
      </c>
      <c r="W17" s="248">
        <v>75.636309753876503</v>
      </c>
      <c r="Y17" s="248">
        <v>450</v>
      </c>
      <c r="Z17" s="248">
        <v>196.71694846986247</v>
      </c>
      <c r="AB17" s="248">
        <v>325</v>
      </c>
      <c r="AC17" s="248">
        <v>523.60424108863117</v>
      </c>
      <c r="AG17" s="248">
        <v>450</v>
      </c>
      <c r="AH17" s="248">
        <v>4127.8162601278127</v>
      </c>
      <c r="AJ17" s="248">
        <v>450</v>
      </c>
      <c r="AK17" s="248">
        <v>3700.6618988437981</v>
      </c>
      <c r="AM17" s="248">
        <v>325</v>
      </c>
      <c r="AN17" s="248">
        <v>3792.9651467926174</v>
      </c>
    </row>
    <row r="18" spans="1:40" hidden="1">
      <c r="A18" s="252" t="s">
        <v>209</v>
      </c>
      <c r="V18" s="248">
        <v>475</v>
      </c>
      <c r="W18" s="248">
        <v>-3.0011902461224054</v>
      </c>
      <c r="Y18" s="248">
        <v>459</v>
      </c>
      <c r="Z18" s="248">
        <v>169.31194846986364</v>
      </c>
      <c r="AB18" s="248">
        <v>350</v>
      </c>
      <c r="AC18" s="248">
        <v>376.90424108863044</v>
      </c>
      <c r="AG18" s="248">
        <v>475</v>
      </c>
      <c r="AH18" s="248">
        <v>3747.1162601278138</v>
      </c>
      <c r="AJ18" s="248">
        <v>459</v>
      </c>
      <c r="AK18" s="248">
        <v>3653.6143988437993</v>
      </c>
      <c r="AM18" s="248">
        <v>350</v>
      </c>
      <c r="AN18" s="248">
        <v>3715.6405162507431</v>
      </c>
    </row>
    <row r="19" spans="1:40" hidden="1">
      <c r="A19" s="257" t="s">
        <v>210</v>
      </c>
      <c r="B19" s="257" t="s">
        <v>211</v>
      </c>
      <c r="V19" s="248">
        <v>497</v>
      </c>
      <c r="W19" s="248">
        <v>-72.202190246121518</v>
      </c>
      <c r="Y19" s="248">
        <v>475</v>
      </c>
      <c r="Z19" s="248">
        <v>120.59194846986247</v>
      </c>
      <c r="AB19" s="248">
        <v>375</v>
      </c>
      <c r="AC19" s="248">
        <v>230.20424108863153</v>
      </c>
      <c r="AG19" s="248">
        <v>497</v>
      </c>
      <c r="AH19" s="248">
        <v>3412.1002601278142</v>
      </c>
      <c r="AJ19" s="248">
        <v>475</v>
      </c>
      <c r="AK19" s="248">
        <v>3569.9743988437981</v>
      </c>
      <c r="AM19" s="248">
        <v>375</v>
      </c>
      <c r="AN19" s="248">
        <v>3638.3158857088724</v>
      </c>
    </row>
    <row r="20" spans="1:40" hidden="1">
      <c r="A20" s="249" t="s">
        <v>145</v>
      </c>
      <c r="B20" s="245">
        <v>636</v>
      </c>
      <c r="V20" s="248">
        <v>500</v>
      </c>
      <c r="W20" s="248">
        <v>-81.638690246123133</v>
      </c>
      <c r="Y20" s="248">
        <v>500</v>
      </c>
      <c r="Z20" s="248">
        <v>44.466948469862473</v>
      </c>
      <c r="AB20" s="248">
        <v>384</v>
      </c>
      <c r="AC20" s="248">
        <v>177.39224108863164</v>
      </c>
      <c r="AG20" s="248">
        <v>500</v>
      </c>
      <c r="AH20" s="248">
        <v>3366.4162601278131</v>
      </c>
      <c r="AJ20" s="248">
        <v>500</v>
      </c>
      <c r="AK20" s="248">
        <v>3439.2868988437981</v>
      </c>
      <c r="AM20" s="248">
        <v>384</v>
      </c>
      <c r="AN20" s="248">
        <v>3610.4790187137983</v>
      </c>
    </row>
    <row r="21" spans="1:40" hidden="1">
      <c r="A21" s="249" t="s">
        <v>2</v>
      </c>
      <c r="B21" s="245">
        <v>695</v>
      </c>
      <c r="V21" s="248">
        <v>525</v>
      </c>
      <c r="W21" s="248">
        <v>-160.27619024612204</v>
      </c>
      <c r="Y21" s="248">
        <v>525</v>
      </c>
      <c r="Z21" s="248">
        <v>-31.658051530137527</v>
      </c>
      <c r="AB21" s="248">
        <v>400</v>
      </c>
      <c r="AC21" s="248">
        <v>83.504241088630806</v>
      </c>
      <c r="AG21" s="248">
        <v>525</v>
      </c>
      <c r="AH21" s="248">
        <v>2985.7162601278142</v>
      </c>
      <c r="AJ21" s="248">
        <v>525</v>
      </c>
      <c r="AK21" s="248">
        <v>3308.5993988437981</v>
      </c>
      <c r="AM21" s="248">
        <v>400</v>
      </c>
      <c r="AN21" s="248">
        <v>3560.991255167</v>
      </c>
    </row>
    <row r="22" spans="1:40" hidden="1">
      <c r="A22" s="249" t="s">
        <v>212</v>
      </c>
      <c r="B22" s="245">
        <v>328</v>
      </c>
      <c r="V22" s="248">
        <v>550</v>
      </c>
      <c r="W22" s="248">
        <v>-238.91369024612277</v>
      </c>
      <c r="Y22" s="248">
        <v>550</v>
      </c>
      <c r="Z22" s="248">
        <v>-107.78305153013753</v>
      </c>
      <c r="AB22" s="248">
        <v>425</v>
      </c>
      <c r="AC22" s="248">
        <v>-63.195758911368102</v>
      </c>
      <c r="AG22" s="248">
        <v>550</v>
      </c>
      <c r="AH22" s="248">
        <v>2605.0162601278134</v>
      </c>
      <c r="AJ22" s="248">
        <v>550</v>
      </c>
      <c r="AK22" s="248">
        <v>3177.9118988437981</v>
      </c>
      <c r="AM22" s="248">
        <v>425</v>
      </c>
      <c r="AN22" s="248">
        <v>3483.6666246251275</v>
      </c>
    </row>
    <row r="23" spans="1:40" hidden="1">
      <c r="A23" s="249" t="s">
        <v>213</v>
      </c>
      <c r="B23" s="245">
        <v>270</v>
      </c>
      <c r="V23" s="248">
        <v>575</v>
      </c>
      <c r="W23" s="248">
        <v>-317.5511902461235</v>
      </c>
      <c r="Y23" s="248">
        <v>575</v>
      </c>
      <c r="Z23" s="248">
        <v>-183.90805153013753</v>
      </c>
      <c r="AB23" s="248">
        <v>450</v>
      </c>
      <c r="AC23" s="248">
        <v>-209.89575891136883</v>
      </c>
      <c r="AG23" s="248">
        <v>575</v>
      </c>
      <c r="AH23" s="248">
        <v>2224.3162601278127</v>
      </c>
      <c r="AJ23" s="248">
        <v>575</v>
      </c>
      <c r="AK23" s="248">
        <v>3047.2243988437981</v>
      </c>
      <c r="AM23" s="248">
        <v>450</v>
      </c>
      <c r="AN23" s="248">
        <v>3406.3419940832568</v>
      </c>
    </row>
    <row r="24" spans="1:40" hidden="1">
      <c r="A24" s="249" t="s">
        <v>214</v>
      </c>
      <c r="B24" s="245">
        <v>377</v>
      </c>
      <c r="V24" s="248">
        <v>600</v>
      </c>
      <c r="W24" s="248">
        <v>-396.18869024612241</v>
      </c>
      <c r="Y24" s="248">
        <v>600</v>
      </c>
      <c r="Z24" s="248">
        <v>-260.03305153013753</v>
      </c>
      <c r="AB24" s="248">
        <v>475</v>
      </c>
      <c r="AC24" s="248">
        <v>-356.59575891136956</v>
      </c>
      <c r="AG24" s="248">
        <v>600</v>
      </c>
      <c r="AH24" s="248">
        <v>1843.6162601278138</v>
      </c>
      <c r="AJ24" s="248">
        <v>600</v>
      </c>
      <c r="AK24" s="248">
        <v>2916.5368988437981</v>
      </c>
      <c r="AM24" s="248">
        <v>475</v>
      </c>
      <c r="AN24" s="248">
        <v>3329.0173635413844</v>
      </c>
    </row>
    <row r="25" spans="1:40" hidden="1">
      <c r="A25" s="249" t="s">
        <v>3</v>
      </c>
      <c r="B25" s="245">
        <v>735</v>
      </c>
      <c r="V25" s="248">
        <v>625</v>
      </c>
      <c r="W25" s="248">
        <v>-474.82619024612313</v>
      </c>
      <c r="Y25" s="248">
        <v>625</v>
      </c>
      <c r="Z25" s="248">
        <v>-336.15805153013753</v>
      </c>
      <c r="AB25" s="248">
        <v>500</v>
      </c>
      <c r="AC25" s="248">
        <v>-503.29575891136847</v>
      </c>
      <c r="AG25" s="248">
        <v>625</v>
      </c>
      <c r="AH25" s="248">
        <v>1462.9162601278131</v>
      </c>
      <c r="AJ25" s="248">
        <v>625</v>
      </c>
      <c r="AK25" s="248">
        <v>2785.8493988437981</v>
      </c>
      <c r="AM25" s="248">
        <v>500</v>
      </c>
      <c r="AN25" s="248">
        <v>3251.6927329995119</v>
      </c>
    </row>
    <row r="26" spans="1:40" hidden="1">
      <c r="A26" s="249" t="s">
        <v>154</v>
      </c>
      <c r="B26" s="245">
        <v>805</v>
      </c>
      <c r="V26" s="248">
        <v>650</v>
      </c>
      <c r="W26" s="248">
        <v>-553.46369024612386</v>
      </c>
      <c r="Y26" s="248">
        <v>650</v>
      </c>
      <c r="Z26" s="248">
        <v>-412.28305153013753</v>
      </c>
      <c r="AB26" s="248">
        <v>525</v>
      </c>
      <c r="AC26" s="248">
        <v>-649.99575891136919</v>
      </c>
      <c r="AG26" s="248">
        <v>650</v>
      </c>
      <c r="AH26" s="248">
        <v>1082.2162601278123</v>
      </c>
      <c r="AJ26" s="248">
        <v>650</v>
      </c>
      <c r="AK26" s="248">
        <v>2655.1618988437981</v>
      </c>
      <c r="AM26" s="248">
        <v>525</v>
      </c>
      <c r="AN26" s="248">
        <v>3174.3681024576413</v>
      </c>
    </row>
    <row r="27" spans="1:40" hidden="1">
      <c r="A27" s="249" t="s">
        <v>215</v>
      </c>
      <c r="B27" s="245">
        <v>260</v>
      </c>
      <c r="V27" s="248">
        <v>675</v>
      </c>
      <c r="W27" s="248">
        <v>-632.10119024612095</v>
      </c>
      <c r="Y27" s="248">
        <v>675</v>
      </c>
      <c r="Z27" s="248">
        <v>-488.40805153013753</v>
      </c>
      <c r="AB27" s="248">
        <v>550</v>
      </c>
      <c r="AC27" s="248">
        <v>-796.6957589113681</v>
      </c>
      <c r="AG27" s="248">
        <v>675</v>
      </c>
      <c r="AH27" s="248">
        <v>701.51626012781344</v>
      </c>
      <c r="AJ27" s="248">
        <v>675</v>
      </c>
      <c r="AK27" s="248">
        <v>2524.4743988437981</v>
      </c>
      <c r="AM27" s="248">
        <v>550</v>
      </c>
      <c r="AN27" s="248">
        <v>3097.0434719157688</v>
      </c>
    </row>
    <row r="28" spans="1:40" hidden="1">
      <c r="A28" s="249" t="s">
        <v>216</v>
      </c>
      <c r="B28" s="245">
        <v>300</v>
      </c>
      <c r="V28" s="248">
        <v>700</v>
      </c>
      <c r="W28" s="248">
        <v>-710.7386902461235</v>
      </c>
      <c r="Y28" s="248">
        <v>700</v>
      </c>
      <c r="Z28" s="248">
        <v>-564.53305153013753</v>
      </c>
      <c r="AB28" s="248">
        <v>575</v>
      </c>
      <c r="AC28" s="248">
        <v>-943.39575891136883</v>
      </c>
      <c r="AG28" s="248">
        <v>700</v>
      </c>
      <c r="AH28" s="248">
        <v>320.81626012781089</v>
      </c>
      <c r="AJ28" s="248">
        <v>700</v>
      </c>
      <c r="AK28" s="248">
        <v>2393.7868988437981</v>
      </c>
      <c r="AM28" s="248">
        <v>575</v>
      </c>
      <c r="AN28" s="248">
        <v>3019.7188413738963</v>
      </c>
    </row>
    <row r="29" spans="1:40">
      <c r="V29" s="248">
        <v>725</v>
      </c>
      <c r="W29" s="248">
        <v>-789.37619024612241</v>
      </c>
      <c r="Y29" s="248">
        <v>725</v>
      </c>
      <c r="Z29" s="248">
        <v>-640.65805153013753</v>
      </c>
      <c r="AB29" s="248">
        <v>600</v>
      </c>
      <c r="AC29" s="248">
        <v>-1090.0957589113696</v>
      </c>
      <c r="AG29" s="248">
        <v>725</v>
      </c>
      <c r="AH29" s="248">
        <v>-59.883739872188016</v>
      </c>
      <c r="AJ29" s="248">
        <v>725</v>
      </c>
      <c r="AK29" s="248">
        <v>2263.0993988437981</v>
      </c>
      <c r="AM29" s="248">
        <v>600</v>
      </c>
      <c r="AN29" s="248">
        <v>2942.3942108320257</v>
      </c>
    </row>
    <row r="30" spans="1:40">
      <c r="V30" s="248">
        <v>750</v>
      </c>
      <c r="W30" s="248">
        <v>-868.01369024612313</v>
      </c>
      <c r="Y30" s="248">
        <v>750</v>
      </c>
      <c r="Z30" s="248">
        <v>-716.78305153013753</v>
      </c>
      <c r="AB30" s="248">
        <v>625</v>
      </c>
      <c r="AC30" s="248">
        <v>-1236.7957589113685</v>
      </c>
      <c r="AG30" s="248">
        <v>750</v>
      </c>
      <c r="AH30" s="248">
        <v>-440.58373987218874</v>
      </c>
      <c r="AJ30" s="248">
        <v>750</v>
      </c>
      <c r="AK30" s="248">
        <v>2132.4118988437981</v>
      </c>
      <c r="AM30" s="248">
        <v>625</v>
      </c>
      <c r="AN30" s="248">
        <v>2865.0695802901532</v>
      </c>
    </row>
    <row r="35" spans="4:5" hidden="1"/>
    <row r="36" spans="4:5" hidden="1">
      <c r="D36" s="241">
        <f>1.95*39000</f>
        <v>76050</v>
      </c>
      <c r="E36" s="241">
        <f>D36/49.2</f>
        <v>1545.7317073170732</v>
      </c>
    </row>
    <row r="37" spans="4:5" hidden="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9F0D-F761-4F65-AD88-95456B05272A}">
  <sheetPr codeName="Sheet25"/>
  <dimension ref="A1:FW74"/>
  <sheetViews>
    <sheetView showGridLines="0" topLeftCell="D4" zoomScale="96" zoomScaleNormal="96" workbookViewId="0">
      <selection activeCell="F11" sqref="F11"/>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37" customWidth="1"/>
    <col min="7" max="7" width="16.28515625" style="337" bestFit="1" customWidth="1"/>
    <col min="8" max="8" width="17.140625" style="337" customWidth="1"/>
    <col min="9" max="9" width="16.7109375" style="337" customWidth="1"/>
    <col min="10" max="10" width="16.140625" style="337" customWidth="1"/>
    <col min="11" max="11" width="15.85546875" style="337" customWidth="1"/>
    <col min="12" max="12" width="15.5703125" style="337" customWidth="1"/>
    <col min="13" max="13" width="15.85546875" style="337" customWidth="1"/>
    <col min="14" max="16" width="16.5703125" style="337" customWidth="1"/>
    <col min="17" max="17" width="14.5703125" style="337" customWidth="1"/>
    <col min="18" max="18" width="17.2851562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c r="G1" s="978">
        <f>G3-'[10]Financial Model Base Case'!G2</f>
        <v>16.718099060879467</v>
      </c>
      <c r="H1" s="978">
        <f>H3-'[10]Financial Model Base Case'!H2</f>
        <v>-32.006329980235023</v>
      </c>
      <c r="I1" s="978">
        <f>I3-'[10]Financial Model Base Case'!I2</f>
        <v>-104.55751834793409</v>
      </c>
      <c r="J1" s="978">
        <f>J3-'[10]Financial Model Base Case'!J2</f>
        <v>53.574089358302444</v>
      </c>
      <c r="K1" s="978">
        <f>K3-'[10]Financial Model Base Case'!K2</f>
        <v>27.599590001340403</v>
      </c>
      <c r="L1" s="978">
        <f>L3-'[10]Financial Model Base Case'!L2</f>
        <v>5.1885767631574709</v>
      </c>
      <c r="M1" s="978">
        <f>M3-'[10]Financial Model Base Case'!M2</f>
        <v>-78.432974742358056</v>
      </c>
      <c r="N1" s="978">
        <f>N3-'[10]Financial Model Base Case'!N2</f>
        <v>39.51683501219668</v>
      </c>
      <c r="O1" s="978">
        <f>O3-'[10]Financial Model Base Case'!O2</f>
        <v>54.059080791237648</v>
      </c>
      <c r="P1" s="978">
        <f>P3-'[10]Financial Model Base Case'!P2</f>
        <v>-18.781563994532917</v>
      </c>
      <c r="Q1" s="978">
        <f>Q3-'[10]Financial Model Base Case'!Q2</f>
        <v>-105.93298528243031</v>
      </c>
      <c r="R1" s="978">
        <f>R3-'[10]Financial Model Base Case'!R2</f>
        <v>72.443687830415001</v>
      </c>
      <c r="S1" s="978">
        <f>S3-'[10]Financial Model Base Case'!S2</f>
        <v>30.138119878269208</v>
      </c>
      <c r="T1" s="978">
        <f>T3-'[10]Financial Model Base Case'!T2</f>
        <v>-44.845614205052698</v>
      </c>
      <c r="U1" s="978">
        <f>U3-'[10]Financial Model Base Case'!U2</f>
        <v>25.810885724233231</v>
      </c>
      <c r="V1" s="978">
        <f>V3-'[10]Financial Model Base Case'!V2</f>
        <v>0</v>
      </c>
      <c r="W1" s="978">
        <f>W3-'[10]Financial Model Base Case'!W2</f>
        <v>0</v>
      </c>
      <c r="X1" s="978">
        <f>X3-'[10]Financial Model Base Case'!X2</f>
        <v>0</v>
      </c>
      <c r="Y1" s="978">
        <f>Y3-'[10]Financial Model Base Case'!Y2</f>
        <v>0</v>
      </c>
      <c r="Z1" s="978">
        <f>Z3-'[10]Financial Model Base Case'!Z2</f>
        <v>0</v>
      </c>
      <c r="AA1" s="978">
        <f>AA3-'[10]Financial Model Base Case'!AA2</f>
        <v>0</v>
      </c>
      <c r="AB1" s="978">
        <f>AB3-'[10]Financial Model Base Case'!AB2</f>
        <v>0</v>
      </c>
      <c r="AC1" s="978">
        <f>AC3-'[10]Financial Model Base Case'!AC2</f>
        <v>0</v>
      </c>
      <c r="AD1" s="978">
        <f>AD3-'[10]Financial Model Base Case'!AD2</f>
        <v>0</v>
      </c>
      <c r="AE1" s="978">
        <f>AE3-'[10]Financial Model Base Case'!AE2</f>
        <v>0</v>
      </c>
      <c r="AF1" s="978">
        <f>AF3-'[10]Financial Model Base Case'!AF2</f>
        <v>0</v>
      </c>
      <c r="AG1" s="978">
        <f>AG3-'[10]Financial Model Base Case'!AG2</f>
        <v>0</v>
      </c>
      <c r="AH1" s="978">
        <f>AH3-'[10]Financial Model Base Case'!AH2</f>
        <v>0</v>
      </c>
      <c r="AI1" s="978">
        <f>AI3-'[10]Financial Model Base Case'!AI2</f>
        <v>0</v>
      </c>
      <c r="AJ1" s="978">
        <f>AJ3-'[10]Financial Model Base Case'!AJ2</f>
        <v>0</v>
      </c>
      <c r="AK1" s="978">
        <f>AK3-'[10]Financial Model Base Case'!AK2</f>
        <v>0</v>
      </c>
      <c r="AL1" s="978">
        <f>AL3-'[10]Financial Model Base Case'!AL2</f>
        <v>0</v>
      </c>
      <c r="AM1" s="978">
        <f>AM3-'[10]Financial Model Base Case'!AM2</f>
        <v>0</v>
      </c>
      <c r="AN1" s="978">
        <f>AN3-'[10]Financial Model Base Case'!AN2</f>
        <v>0</v>
      </c>
      <c r="AO1" s="978">
        <f>AO3-'[10]Financial Model Base Case'!AO2</f>
        <v>0</v>
      </c>
      <c r="AP1" s="978">
        <f>AP3-'[10]Financial Model Base Case'!AP2</f>
        <v>0</v>
      </c>
      <c r="AQ1" s="978">
        <f>AQ3-'[10]Financial Model Base Case'!AQ2</f>
        <v>0</v>
      </c>
      <c r="AR1" s="978">
        <f>AR3-'[10]Financial Model Base Case'!AR2</f>
        <v>0</v>
      </c>
      <c r="AS1" s="978">
        <f>AS3-'[10]Financial Model Base Case'!AS2</f>
        <v>0</v>
      </c>
      <c r="AT1" s="978">
        <f>AT3-'[10]Financial Model Base Case'!AT2</f>
        <v>0</v>
      </c>
      <c r="AU1" s="978">
        <f>AU3-'[10]Financial Model Base Case'!AU2</f>
        <v>0</v>
      </c>
      <c r="AV1" s="978">
        <f>AV3-'[10]Financial Model Base Case'!AV2</f>
        <v>0</v>
      </c>
      <c r="AW1" s="978">
        <f>AW3-'[10]Financial Model Base Case'!AW2</f>
        <v>0</v>
      </c>
      <c r="AX1" s="978">
        <f>AX3-'[10]Financial Model Base Case'!AX2</f>
        <v>0</v>
      </c>
      <c r="AY1" s="978">
        <f>AY3-'[10]Financial Model Base Case'!AY2</f>
        <v>0</v>
      </c>
      <c r="AZ1" s="978">
        <f>AZ3-'[10]Financial Model Base Case'!AZ2</f>
        <v>0</v>
      </c>
      <c r="BA1" s="978">
        <f>BA3-'[10]Financial Model Base Case'!BA2</f>
        <v>0</v>
      </c>
      <c r="BB1" s="978">
        <f>BB3-'[10]Financial Model Base Case'!BB2</f>
        <v>0</v>
      </c>
      <c r="BC1" s="978">
        <f>BC3-'[10]Financial Model Base Case'!BC2</f>
        <v>0</v>
      </c>
      <c r="BD1" s="978">
        <f>BD3-'[10]Financial Model Base Case'!BD2</f>
        <v>0</v>
      </c>
      <c r="BE1" s="978">
        <f>BE3-'[10]Financial Model Base Case'!BE2</f>
        <v>0</v>
      </c>
      <c r="BF1" s="978">
        <f>BF3-'[10]Financial Model Base Case'!BF2</f>
        <v>0</v>
      </c>
      <c r="BG1" s="978">
        <f>BG3-'[10]Financial Model Base Case'!BG2</f>
        <v>0</v>
      </c>
      <c r="BH1" s="978">
        <f>BH3-'[10]Financial Model Base Case'!BH2</f>
        <v>0</v>
      </c>
      <c r="BI1" s="978">
        <f>BI3-'[10]Financial Model Base Case'!BI2</f>
        <v>0</v>
      </c>
      <c r="BJ1" s="978">
        <f>BJ3-'[10]Financial Model Base Case'!BJ2</f>
        <v>0</v>
      </c>
      <c r="BK1" s="978">
        <f>BK3-'[10]Financial Model Base Case'!BK2</f>
        <v>0</v>
      </c>
      <c r="BL1" s="978">
        <f>BL3-'[10]Financial Model Base Case'!BL2</f>
        <v>0</v>
      </c>
      <c r="BM1" s="978">
        <f>BM3-'[10]Financial Model Base Case'!BM2</f>
        <v>0</v>
      </c>
      <c r="BN1" s="978">
        <f>BN3-'[10]Financial Model Base Case'!BN2</f>
        <v>0</v>
      </c>
      <c r="BO1" s="978">
        <f>BO3-'[10]Financial Model Base Case'!BO2</f>
        <v>0</v>
      </c>
      <c r="BP1" s="978">
        <f>BP3-'[10]Financial Model Base Case'!BP2</f>
        <v>0</v>
      </c>
      <c r="BQ1" s="978">
        <f>BQ3-'[10]Financial Model Base Case'!BQ2</f>
        <v>0</v>
      </c>
      <c r="BR1" s="978">
        <f>BR3-'[10]Financial Model Base Case'!BR2</f>
        <v>0</v>
      </c>
      <c r="BS1" s="978">
        <f>BS3-'[10]Financial Model Base Case'!BS2</f>
        <v>0</v>
      </c>
      <c r="BT1" s="978">
        <f>BT3-'[10]Financial Model Base Case'!BT2</f>
        <v>0</v>
      </c>
      <c r="BU1" s="978">
        <f>BU3-'[10]Financial Model Base Case'!BU2</f>
        <v>0</v>
      </c>
      <c r="BV1" s="978">
        <f>BV3-'[10]Financial Model Base Case'!BV2</f>
        <v>0</v>
      </c>
      <c r="BW1" s="978">
        <f>BW3-'[10]Financial Model Base Case'!BW2</f>
        <v>0</v>
      </c>
      <c r="BX1" s="978">
        <f>BX3-'[10]Financial Model Base Case'!BX2</f>
        <v>0</v>
      </c>
      <c r="BY1" s="978">
        <f>BY3-'[10]Financial Model Base Case'!BY2</f>
        <v>0</v>
      </c>
      <c r="BZ1" s="978">
        <f>BZ3-'[10]Financial Model Base Case'!BZ2</f>
        <v>0</v>
      </c>
      <c r="CA1" s="978">
        <f>CA3-'[10]Financial Model Base Case'!CA2</f>
        <v>0</v>
      </c>
      <c r="CB1" s="978">
        <f>CB3-'[10]Financial Model Base Case'!CB2</f>
        <v>0</v>
      </c>
      <c r="CC1" s="978">
        <f>CC3-'[10]Financial Model Base Case'!CC2</f>
        <v>0</v>
      </c>
      <c r="CD1" s="978">
        <f>CD3-'[10]Financial Model Base Case'!CD2</f>
        <v>0</v>
      </c>
      <c r="CE1" s="978">
        <f>CE3-'[10]Financial Model Base Case'!CE2</f>
        <v>0</v>
      </c>
      <c r="CF1" s="978">
        <f>CF3-'[10]Financial Model Base Case'!CF2</f>
        <v>0</v>
      </c>
      <c r="CG1" s="978">
        <f>CG3-'[10]Financial Model Base Case'!CG2</f>
        <v>0</v>
      </c>
      <c r="CH1" s="978">
        <f>CH3-'[10]Financial Model Base Case'!CH2</f>
        <v>0</v>
      </c>
      <c r="CI1" s="978">
        <f>CI3-'[10]Financial Model Base Case'!CI2</f>
        <v>0</v>
      </c>
      <c r="CJ1" s="978">
        <f>CJ3-'[10]Financial Model Base Case'!CJ2</f>
        <v>0</v>
      </c>
      <c r="CK1" s="978">
        <f>CK3-'[10]Financial Model Base Case'!CK2</f>
        <v>0</v>
      </c>
      <c r="CL1" s="978">
        <f>CL3-'[10]Financial Model Base Case'!CL2</f>
        <v>0</v>
      </c>
      <c r="CM1" s="978">
        <f>CM3-'[10]Financial Model Base Case'!CM2</f>
        <v>-0.70842883490695385</v>
      </c>
    </row>
    <row r="2" spans="1:178" ht="21" customHeight="1">
      <c r="A2" s="351" t="s">
        <v>299</v>
      </c>
      <c r="B2" s="351" t="s">
        <v>300</v>
      </c>
      <c r="C2" s="352" t="s">
        <v>146</v>
      </c>
      <c r="D2" s="352" t="s">
        <v>162</v>
      </c>
      <c r="E2" s="351" t="s">
        <v>301</v>
      </c>
      <c r="F2" s="353" t="s">
        <v>4</v>
      </c>
      <c r="G2" s="354">
        <v>41913</v>
      </c>
      <c r="H2" s="354">
        <v>41944</v>
      </c>
      <c r="I2" s="354">
        <v>41974</v>
      </c>
      <c r="J2" s="354">
        <v>42005</v>
      </c>
      <c r="K2" s="354">
        <v>42036</v>
      </c>
      <c r="L2" s="354">
        <v>42064</v>
      </c>
      <c r="M2" s="354">
        <v>42095</v>
      </c>
      <c r="N2" s="354">
        <v>42125</v>
      </c>
      <c r="O2" s="354">
        <v>42156</v>
      </c>
      <c r="P2" s="354">
        <v>42186</v>
      </c>
      <c r="Q2" s="354">
        <v>42217</v>
      </c>
      <c r="R2" s="354">
        <v>42248</v>
      </c>
      <c r="S2" s="354">
        <v>42278</v>
      </c>
      <c r="T2" s="354">
        <v>42309</v>
      </c>
      <c r="U2" s="354">
        <v>42339</v>
      </c>
      <c r="V2" s="354">
        <v>42370</v>
      </c>
      <c r="W2" s="354">
        <v>42401</v>
      </c>
      <c r="X2" s="354">
        <v>42430</v>
      </c>
      <c r="Y2" s="354">
        <v>42461</v>
      </c>
      <c r="Z2" s="354">
        <v>42491</v>
      </c>
      <c r="AA2" s="354">
        <v>42522</v>
      </c>
      <c r="AB2" s="354">
        <v>42552</v>
      </c>
      <c r="AC2" s="354">
        <v>42583</v>
      </c>
      <c r="AD2" s="354">
        <v>42614</v>
      </c>
      <c r="AE2" s="354">
        <v>42644</v>
      </c>
      <c r="AF2" s="354">
        <v>42675</v>
      </c>
      <c r="AG2" s="354">
        <v>42705</v>
      </c>
      <c r="AH2" s="354">
        <v>42736</v>
      </c>
      <c r="AI2" s="354">
        <v>42767</v>
      </c>
      <c r="AJ2" s="354">
        <v>42795</v>
      </c>
      <c r="AK2" s="354">
        <v>42826</v>
      </c>
      <c r="AL2" s="354">
        <v>42856</v>
      </c>
      <c r="AM2" s="354">
        <v>42887</v>
      </c>
      <c r="AN2" s="354">
        <v>42917</v>
      </c>
      <c r="AO2" s="354">
        <v>42948</v>
      </c>
      <c r="AP2" s="354">
        <v>42979</v>
      </c>
      <c r="AQ2" s="354">
        <v>43009</v>
      </c>
      <c r="AR2" s="354">
        <v>43040</v>
      </c>
      <c r="AS2" s="354">
        <v>43070</v>
      </c>
      <c r="AT2" s="354">
        <v>43101</v>
      </c>
      <c r="AU2" s="354">
        <v>43132</v>
      </c>
      <c r="AV2" s="354">
        <v>43160</v>
      </c>
      <c r="AW2" s="354">
        <v>43191</v>
      </c>
      <c r="AX2" s="354">
        <v>43221</v>
      </c>
      <c r="AY2" s="354">
        <v>43252</v>
      </c>
      <c r="AZ2" s="354">
        <v>43282</v>
      </c>
      <c r="BA2" s="354">
        <v>43313</v>
      </c>
      <c r="BB2" s="354">
        <v>43344</v>
      </c>
      <c r="BC2" s="354">
        <v>43374</v>
      </c>
      <c r="BD2" s="354">
        <v>43405</v>
      </c>
      <c r="BE2" s="354">
        <v>43435</v>
      </c>
      <c r="BF2" s="354">
        <v>43466</v>
      </c>
      <c r="BG2" s="354">
        <v>43497</v>
      </c>
      <c r="BH2" s="354">
        <v>43525</v>
      </c>
      <c r="BI2" s="354">
        <v>43556</v>
      </c>
      <c r="BJ2" s="354">
        <v>43586</v>
      </c>
      <c r="BK2" s="354">
        <v>43617</v>
      </c>
      <c r="BL2" s="354">
        <v>43647</v>
      </c>
      <c r="BM2" s="354">
        <v>43678</v>
      </c>
      <c r="BN2" s="354">
        <v>43709</v>
      </c>
      <c r="BO2" s="354">
        <v>43739</v>
      </c>
      <c r="BP2" s="354">
        <v>43770</v>
      </c>
      <c r="BQ2" s="354">
        <v>43800</v>
      </c>
      <c r="BR2" s="354">
        <v>43831</v>
      </c>
      <c r="BS2" s="354">
        <v>43862</v>
      </c>
      <c r="BT2" s="354">
        <v>43891</v>
      </c>
      <c r="BU2" s="354">
        <v>43922</v>
      </c>
      <c r="BV2" s="354">
        <v>43952</v>
      </c>
      <c r="BW2" s="354">
        <v>43983</v>
      </c>
      <c r="BX2" s="354">
        <v>44013</v>
      </c>
      <c r="BY2" s="354">
        <v>44044</v>
      </c>
      <c r="BZ2" s="354">
        <v>44075</v>
      </c>
      <c r="CA2" s="354">
        <v>44105</v>
      </c>
      <c r="CB2" s="354">
        <v>44136</v>
      </c>
      <c r="CC2" s="354">
        <v>44166</v>
      </c>
      <c r="CD2" s="354">
        <v>44197</v>
      </c>
      <c r="CE2" s="354">
        <v>44228</v>
      </c>
      <c r="CF2" s="354">
        <v>44256</v>
      </c>
      <c r="CG2" s="354">
        <v>44287</v>
      </c>
      <c r="CH2" s="354">
        <v>44317</v>
      </c>
      <c r="CI2" s="354">
        <v>44348</v>
      </c>
      <c r="CJ2" s="354">
        <v>44378</v>
      </c>
      <c r="CK2" s="354">
        <v>44409</v>
      </c>
      <c r="CL2" s="354">
        <v>44440</v>
      </c>
      <c r="CM2" s="355" t="s">
        <v>402</v>
      </c>
      <c r="CN2" s="58"/>
      <c r="CO2" s="58"/>
      <c r="CP2" s="58"/>
      <c r="CQ2" s="58"/>
      <c r="CR2" s="58"/>
      <c r="CS2" s="58"/>
      <c r="CT2" s="58"/>
      <c r="CU2" s="58"/>
      <c r="CV2" s="58"/>
      <c r="CW2" s="58"/>
      <c r="CX2" s="58"/>
      <c r="CY2" s="58"/>
      <c r="CZ2" s="58"/>
      <c r="DA2" s="58"/>
      <c r="DB2" s="58"/>
      <c r="DC2" s="58"/>
      <c r="DD2" s="58"/>
      <c r="DE2" s="58"/>
      <c r="DF2" s="58"/>
      <c r="DG2" s="58"/>
      <c r="DH2" s="58"/>
      <c r="DI2" s="58"/>
      <c r="DJ2" s="58"/>
      <c r="DK2" s="58"/>
      <c r="DL2" s="58"/>
      <c r="DM2" s="58"/>
      <c r="DN2" s="58"/>
      <c r="DO2" s="58"/>
      <c r="DP2" s="58"/>
      <c r="DQ2" s="58"/>
      <c r="DR2" s="58"/>
      <c r="DS2" s="58"/>
      <c r="DT2" s="58"/>
      <c r="DU2" s="58"/>
      <c r="DV2" s="58"/>
      <c r="DW2" s="58"/>
      <c r="DX2" s="58"/>
      <c r="DY2" s="58"/>
      <c r="DZ2" s="58"/>
      <c r="EA2" s="58"/>
      <c r="EB2" s="58"/>
      <c r="EC2" s="58"/>
      <c r="ED2" s="58"/>
      <c r="EE2" s="58"/>
      <c r="EF2" s="58"/>
      <c r="EG2" s="58"/>
      <c r="EH2" s="58"/>
      <c r="EI2" s="58"/>
      <c r="EJ2" s="58"/>
      <c r="EK2" s="58"/>
      <c r="EL2" s="58"/>
      <c r="EM2" s="58"/>
      <c r="EN2" s="58"/>
      <c r="EO2" s="58"/>
      <c r="EP2" s="58"/>
      <c r="EQ2" s="58"/>
      <c r="ER2" s="58"/>
      <c r="ES2" s="58"/>
      <c r="ET2" s="58"/>
      <c r="EU2" s="58"/>
      <c r="EV2" s="58"/>
      <c r="EW2" s="58"/>
      <c r="EX2" s="58"/>
      <c r="EY2" s="58"/>
      <c r="EZ2" s="58"/>
      <c r="FA2" s="58"/>
      <c r="FB2" s="58"/>
      <c r="FC2" s="58"/>
      <c r="FD2" s="58"/>
      <c r="FE2" s="58"/>
      <c r="FF2" s="58"/>
      <c r="FG2" s="58"/>
      <c r="FH2" s="58"/>
      <c r="FI2" s="58"/>
      <c r="FJ2" s="58"/>
      <c r="FK2" s="58"/>
      <c r="FL2" s="58"/>
      <c r="FM2" s="58"/>
      <c r="FN2" s="58"/>
      <c r="FO2" s="58"/>
      <c r="FP2" s="58"/>
      <c r="FQ2" s="58"/>
      <c r="FR2" s="58"/>
      <c r="FS2" s="58"/>
      <c r="FT2" s="58"/>
      <c r="FU2" s="58"/>
      <c r="FV2" s="58"/>
    </row>
    <row r="3" spans="1:178">
      <c r="A3" s="1049" t="s">
        <v>302</v>
      </c>
      <c r="B3" s="286" t="s">
        <v>303</v>
      </c>
      <c r="C3" s="356" t="s">
        <v>142</v>
      </c>
      <c r="D3" s="356"/>
      <c r="E3" s="357" t="s">
        <v>348</v>
      </c>
      <c r="F3" s="358" t="s">
        <v>148</v>
      </c>
      <c r="G3" s="635">
        <v>24840.979509560882</v>
      </c>
      <c r="H3" s="635">
        <v>27601.017012299759</v>
      </c>
      <c r="I3" s="635">
        <v>27872.673549717059</v>
      </c>
      <c r="J3" s="635">
        <v>27711.2808766833</v>
      </c>
      <c r="K3" s="635">
        <v>27693.66376423134</v>
      </c>
      <c r="L3" s="635">
        <v>27809.557786379155</v>
      </c>
      <c r="M3" s="635">
        <v>27872.235855872641</v>
      </c>
      <c r="N3" s="635">
        <v>28140.242871436196</v>
      </c>
      <c r="O3" s="635">
        <v>26877.737654853237</v>
      </c>
      <c r="P3" s="635">
        <v>26833.652476261464</v>
      </c>
      <c r="Q3" s="635">
        <v>27179.662397707976</v>
      </c>
      <c r="R3" s="635">
        <v>27444.927209212419</v>
      </c>
      <c r="S3" s="636">
        <v>27172.757259730271</v>
      </c>
      <c r="T3" s="636">
        <v>27435.402155329346</v>
      </c>
      <c r="U3" s="636">
        <v>24656.197597598231</v>
      </c>
      <c r="V3" s="636">
        <v>24857.002097505603</v>
      </c>
      <c r="W3" s="636">
        <v>24957.504418524</v>
      </c>
      <c r="X3" s="636">
        <v>24671.356060602</v>
      </c>
      <c r="Y3" s="636">
        <v>22065.031348464003</v>
      </c>
      <c r="Z3" s="636">
        <v>22128.595366396799</v>
      </c>
      <c r="AA3" s="636">
        <v>22175.145645834004</v>
      </c>
      <c r="AB3" s="636">
        <v>22129.757356843198</v>
      </c>
      <c r="AC3" s="636">
        <v>22130.982157584003</v>
      </c>
      <c r="AD3" s="636">
        <v>22101.814627121999</v>
      </c>
      <c r="AE3" s="636">
        <v>20176.261138200003</v>
      </c>
      <c r="AF3" s="636">
        <v>20344.666108500001</v>
      </c>
      <c r="AG3" s="636">
        <v>20306.532203250001</v>
      </c>
      <c r="AH3" s="636">
        <v>20326.102690200001</v>
      </c>
      <c r="AI3" s="636">
        <v>20186.004687749999</v>
      </c>
      <c r="AJ3" s="636">
        <v>20024.232258749998</v>
      </c>
      <c r="AK3" s="636">
        <v>19807.044369888001</v>
      </c>
      <c r="AL3" s="636">
        <v>19811.148591575999</v>
      </c>
      <c r="AM3" s="636">
        <v>19814.393790120001</v>
      </c>
      <c r="AN3" s="636">
        <v>19787.165938022405</v>
      </c>
      <c r="AO3" s="636">
        <v>19764.443185079999</v>
      </c>
      <c r="AP3" s="636">
        <v>19819.643376</v>
      </c>
      <c r="AQ3" s="636">
        <v>21243.123751632003</v>
      </c>
      <c r="AR3" s="636">
        <v>21228.775525005003</v>
      </c>
      <c r="AS3" s="636">
        <v>21095.414875967999</v>
      </c>
      <c r="AT3" s="360">
        <v>21071.38993836</v>
      </c>
      <c r="AU3" s="359">
        <v>21195.963688920001</v>
      </c>
      <c r="AV3" s="359">
        <v>21258.99207462</v>
      </c>
      <c r="AW3" s="359">
        <v>21969.716726712002</v>
      </c>
      <c r="AX3" s="359">
        <v>22213.381412549999</v>
      </c>
      <c r="AY3" s="359">
        <v>22285.80953328</v>
      </c>
      <c r="AZ3" s="359">
        <v>22389.289493304001</v>
      </c>
      <c r="BA3" s="359">
        <v>22601.627544809999</v>
      </c>
      <c r="BB3" s="359">
        <v>22985.830264368</v>
      </c>
      <c r="BC3" s="359">
        <v>24236.038385039999</v>
      </c>
      <c r="BD3" s="359">
        <v>23886.024940560001</v>
      </c>
      <c r="BE3" s="359">
        <v>23763.494371929602</v>
      </c>
      <c r="BF3" s="359">
        <v>23850.635650175998</v>
      </c>
      <c r="BG3" s="359">
        <v>23876.32629216</v>
      </c>
      <c r="BH3" s="359">
        <v>23559.9348288</v>
      </c>
      <c r="BI3" s="359">
        <v>24749.661100421999</v>
      </c>
      <c r="BJ3" s="359">
        <v>24830.752192455002</v>
      </c>
      <c r="BK3" s="359">
        <v>24722.223624098398</v>
      </c>
      <c r="BL3" s="359">
        <v>24676.664916000002</v>
      </c>
      <c r="BM3" s="359">
        <v>25104.842923845001</v>
      </c>
      <c r="BN3" s="359">
        <v>25056.851009599202</v>
      </c>
      <c r="BO3" s="359">
        <v>23362.582985118002</v>
      </c>
      <c r="BP3" s="359">
        <v>23485.113220196999</v>
      </c>
      <c r="BQ3" s="359">
        <v>23424.689280801598</v>
      </c>
      <c r="BR3" s="359">
        <v>23417.694656627998</v>
      </c>
      <c r="BS3" s="359">
        <v>23522.862643314002</v>
      </c>
      <c r="BT3" s="359">
        <v>24040.912355508</v>
      </c>
      <c r="BU3" s="359">
        <v>20945.901743808005</v>
      </c>
      <c r="BV3" s="359">
        <v>20894.881721664002</v>
      </c>
      <c r="BW3" s="359">
        <v>20888.197608186005</v>
      </c>
      <c r="BX3" s="359">
        <v>20802.407931528</v>
      </c>
      <c r="BY3" s="359">
        <v>20716.532403871199</v>
      </c>
      <c r="BZ3" s="359">
        <v>20623.347276888002</v>
      </c>
      <c r="CA3" s="359">
        <v>18381.711629385001</v>
      </c>
      <c r="CB3" s="359">
        <v>18414.618655908002</v>
      </c>
      <c r="CC3" s="359">
        <v>18362.123566842001</v>
      </c>
      <c r="CD3" s="359">
        <v>18318.758857221601</v>
      </c>
      <c r="CE3" s="359">
        <v>18321.89111013</v>
      </c>
      <c r="CF3" s="359">
        <v>18295.046508591</v>
      </c>
      <c r="CG3" s="359">
        <v>18459.489786282</v>
      </c>
      <c r="CH3" s="359">
        <v>18309.610106791202</v>
      </c>
      <c r="CI3" s="359">
        <v>18409.888127321999</v>
      </c>
      <c r="CJ3" s="359">
        <v>18451.016169543</v>
      </c>
      <c r="CK3" s="359">
        <v>18395.2005249744</v>
      </c>
      <c r="CL3" s="358">
        <v>18387.819981831002</v>
      </c>
      <c r="CM3" s="359">
        <f t="shared" ref="CM3:CM12" si="0">AVERAGE(G3:CL3)</f>
        <v>22559.665229881339</v>
      </c>
      <c r="CN3" s="361" t="s">
        <v>163</v>
      </c>
      <c r="CO3" s="361"/>
      <c r="CP3" s="361"/>
      <c r="CQ3" s="361"/>
      <c r="CR3" s="361"/>
      <c r="CS3" s="361"/>
      <c r="CT3" s="361"/>
      <c r="CU3" s="361"/>
      <c r="CV3" s="361"/>
      <c r="CW3" s="361"/>
      <c r="CX3" s="361"/>
      <c r="CY3" s="361"/>
      <c r="CZ3" s="361"/>
      <c r="DA3" s="361"/>
      <c r="DB3" s="361"/>
      <c r="DC3" s="361"/>
      <c r="DD3" s="361"/>
      <c r="DE3" s="361"/>
      <c r="DF3" s="361"/>
      <c r="DG3" s="361"/>
      <c r="DH3" s="361"/>
      <c r="DI3" s="361"/>
      <c r="DJ3" s="361"/>
      <c r="DK3" s="361"/>
      <c r="DL3" s="361"/>
      <c r="DM3" s="361"/>
      <c r="DN3" s="361"/>
      <c r="DO3" s="361"/>
      <c r="DP3" s="361"/>
      <c r="DQ3" s="361"/>
      <c r="DR3" s="361"/>
      <c r="DS3" s="361"/>
      <c r="DT3" s="361"/>
      <c r="DU3" s="361"/>
      <c r="DV3" s="361"/>
      <c r="DW3" s="361"/>
      <c r="DX3" s="361"/>
      <c r="DY3" s="361"/>
      <c r="DZ3" s="361"/>
      <c r="EA3" s="361"/>
      <c r="EB3" s="361"/>
      <c r="EC3" s="58"/>
      <c r="ED3" s="58"/>
      <c r="EE3" s="58"/>
      <c r="EF3" s="58"/>
      <c r="EG3" s="58"/>
      <c r="EH3" s="58"/>
      <c r="EI3" s="58"/>
      <c r="EJ3" s="58"/>
      <c r="EK3" s="58"/>
      <c r="EL3" s="58"/>
      <c r="EM3" s="58"/>
      <c r="EN3" s="58"/>
      <c r="EO3" s="58"/>
      <c r="EP3" s="58"/>
      <c r="EQ3" s="58"/>
      <c r="ER3" s="58"/>
      <c r="ES3" s="58"/>
      <c r="ET3" s="58"/>
      <c r="EU3" s="58"/>
      <c r="EV3" s="58"/>
      <c r="EW3" s="58"/>
      <c r="EX3" s="58"/>
      <c r="EY3" s="58"/>
      <c r="EZ3" s="58"/>
      <c r="FA3" s="58"/>
      <c r="FB3" s="58"/>
      <c r="FC3" s="58"/>
      <c r="FD3" s="58"/>
      <c r="FE3" s="58"/>
      <c r="FF3" s="58"/>
      <c r="FG3" s="58"/>
      <c r="FH3" s="58"/>
      <c r="FI3" s="58"/>
      <c r="FJ3" s="58"/>
      <c r="FK3" s="58"/>
      <c r="FL3" s="58"/>
      <c r="FM3" s="58"/>
      <c r="FN3" s="58"/>
      <c r="FO3" s="58"/>
      <c r="FP3" s="58"/>
      <c r="FQ3" s="58"/>
      <c r="FR3" s="58"/>
      <c r="FS3" s="58"/>
      <c r="FT3" s="58"/>
      <c r="FU3" s="58"/>
      <c r="FV3" s="58"/>
    </row>
    <row r="4" spans="1:178">
      <c r="A4" s="1050"/>
      <c r="B4" s="2" t="s">
        <v>303</v>
      </c>
      <c r="C4" s="362" t="s">
        <v>142</v>
      </c>
      <c r="D4" s="362"/>
      <c r="E4" s="58" t="s">
        <v>348</v>
      </c>
      <c r="F4" s="363" t="s">
        <v>0</v>
      </c>
      <c r="G4" s="641">
        <v>47327.845206284997</v>
      </c>
      <c r="H4" s="641">
        <v>39482.80760588</v>
      </c>
      <c r="I4" s="641">
        <v>36204.060790149997</v>
      </c>
      <c r="J4" s="641">
        <v>27698.208912624999</v>
      </c>
      <c r="K4" s="641">
        <v>29295.424416149999</v>
      </c>
      <c r="L4" s="641">
        <v>32785.037939000002</v>
      </c>
      <c r="M4" s="641">
        <v>30278.944923519997</v>
      </c>
      <c r="N4" s="641">
        <v>31112.532112649998</v>
      </c>
      <c r="O4" s="641">
        <v>27122.875893674995</v>
      </c>
      <c r="P4" s="641">
        <v>26376.786423944999</v>
      </c>
      <c r="Q4" s="641">
        <v>24927.501257080003</v>
      </c>
      <c r="R4" s="641">
        <v>21879.322637759997</v>
      </c>
      <c r="S4" s="642">
        <v>24575.123904479995</v>
      </c>
      <c r="T4" s="642">
        <v>27419.471417719997</v>
      </c>
      <c r="U4" s="642">
        <v>32111.792529339997</v>
      </c>
      <c r="V4" s="642">
        <v>24361.102800000001</v>
      </c>
      <c r="W4" s="642">
        <v>20343.800900000002</v>
      </c>
      <c r="X4" s="642">
        <v>20225.6142</v>
      </c>
      <c r="Y4" s="642">
        <v>22277.670000000002</v>
      </c>
      <c r="Z4" s="642">
        <v>22772.380700000002</v>
      </c>
      <c r="AA4" s="642">
        <v>23208.521000000001</v>
      </c>
      <c r="AB4" s="642">
        <v>20679.534800000001</v>
      </c>
      <c r="AC4" s="642">
        <v>19966.231</v>
      </c>
      <c r="AD4" s="642">
        <v>20608.4136</v>
      </c>
      <c r="AE4" s="642">
        <v>23739.838200000002</v>
      </c>
      <c r="AF4" s="642">
        <v>27675.5599</v>
      </c>
      <c r="AG4" s="642">
        <v>26944.4758</v>
      </c>
      <c r="AH4" s="642">
        <v>30970.144900000003</v>
      </c>
      <c r="AI4" s="642">
        <v>35685.062100000003</v>
      </c>
      <c r="AJ4" s="642">
        <v>33001.282700000003</v>
      </c>
      <c r="AK4" s="642">
        <v>28971.43</v>
      </c>
      <c r="AL4" s="642">
        <v>25940.411800000002</v>
      </c>
      <c r="AM4" s="642">
        <v>25950.870800000001</v>
      </c>
      <c r="AN4" s="642">
        <v>23221.071800000002</v>
      </c>
      <c r="AO4" s="642">
        <v>28110.654300000002</v>
      </c>
      <c r="AP4" s="642">
        <v>32381.064000000002</v>
      </c>
      <c r="AQ4" s="642">
        <v>39089.4666</v>
      </c>
      <c r="AR4" s="642">
        <v>38985.922500000001</v>
      </c>
      <c r="AS4" s="642">
        <v>39578.947800000002</v>
      </c>
      <c r="AT4" s="364">
        <v>39294.463000000003</v>
      </c>
      <c r="AU4" s="319">
        <v>35437.183799999999</v>
      </c>
      <c r="AV4" s="319">
        <v>32666.594700000001</v>
      </c>
      <c r="AW4" s="319">
        <v>32691.696300000003</v>
      </c>
      <c r="AX4" s="319">
        <v>35282.390599999999</v>
      </c>
      <c r="AY4" s="319">
        <v>39784.990100000003</v>
      </c>
      <c r="AZ4" s="319">
        <v>39850.881800000003</v>
      </c>
      <c r="BA4" s="319">
        <v>42365.225400000003</v>
      </c>
      <c r="BB4" s="319">
        <v>45248.771700000005</v>
      </c>
      <c r="BC4" s="319">
        <v>50290.009700000002</v>
      </c>
      <c r="BD4" s="319">
        <v>40239.956600000005</v>
      </c>
      <c r="BE4" s="319">
        <v>32952.125400000004</v>
      </c>
      <c r="BF4" s="319">
        <v>31827.782900000002</v>
      </c>
      <c r="BG4" s="319">
        <v>32745.037200000002</v>
      </c>
      <c r="BH4" s="319">
        <v>35573.150800000003</v>
      </c>
      <c r="BI4" s="319">
        <v>37367.915200000003</v>
      </c>
      <c r="BJ4" s="319">
        <v>38308.179300000003</v>
      </c>
      <c r="BK4" s="319">
        <v>31230.574000000001</v>
      </c>
      <c r="BL4" s="319">
        <v>26991.541300000001</v>
      </c>
      <c r="BM4" s="319">
        <v>27524.9503</v>
      </c>
      <c r="BN4" s="319">
        <v>26006.303500000002</v>
      </c>
      <c r="BO4" s="319">
        <v>31143.764300000003</v>
      </c>
      <c r="BP4" s="319">
        <v>32199.077400000002</v>
      </c>
      <c r="BQ4" s="319">
        <v>32762.817500000001</v>
      </c>
      <c r="BR4" s="319">
        <v>42114.2094</v>
      </c>
      <c r="BS4" s="319">
        <v>37957.802800000005</v>
      </c>
      <c r="BT4" s="319">
        <v>33649.740700000002</v>
      </c>
      <c r="BU4" s="319">
        <v>18321.030300000002</v>
      </c>
      <c r="BV4" s="319">
        <v>26936.1086</v>
      </c>
      <c r="BW4" s="319">
        <v>27733.0844</v>
      </c>
      <c r="BX4" s="319">
        <v>28196.418100000003</v>
      </c>
      <c r="BY4" s="319">
        <v>28402.4604</v>
      </c>
      <c r="BZ4" s="319">
        <v>28044.762600000002</v>
      </c>
      <c r="CA4" s="319">
        <v>28895.079300000001</v>
      </c>
      <c r="CB4" s="319">
        <v>33337.016600000003</v>
      </c>
      <c r="CC4" s="319">
        <v>34620.335899999998</v>
      </c>
      <c r="CD4" s="319">
        <v>42036.8128</v>
      </c>
      <c r="CE4" s="319">
        <v>46182.760399999999</v>
      </c>
      <c r="CF4" s="319">
        <v>47590.541799999999</v>
      </c>
      <c r="CG4" s="319">
        <v>43633.902099999999</v>
      </c>
      <c r="CH4" s="319">
        <v>37765.357199999999</v>
      </c>
      <c r="CI4" s="319">
        <v>40887.368699999999</v>
      </c>
      <c r="CJ4" s="319">
        <v>48290.248900000006</v>
      </c>
      <c r="CK4" s="319">
        <v>51055.608500000002</v>
      </c>
      <c r="CL4" s="363">
        <v>51226.090200000006</v>
      </c>
      <c r="CM4" s="319">
        <f t="shared" si="0"/>
        <v>32618.444412741188</v>
      </c>
      <c r="CN4" s="58"/>
      <c r="CO4" s="361" t="s">
        <v>164</v>
      </c>
      <c r="CP4" s="361" t="s">
        <v>165</v>
      </c>
      <c r="CQ4" s="361" t="s">
        <v>166</v>
      </c>
      <c r="CR4" s="361" t="s">
        <v>1</v>
      </c>
      <c r="CS4" s="58"/>
      <c r="CT4" s="58"/>
      <c r="CU4" s="58"/>
      <c r="CV4" s="58"/>
      <c r="CW4" s="58"/>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row>
    <row r="5" spans="1:178">
      <c r="A5" s="1050"/>
      <c r="B5" s="2" t="s">
        <v>303</v>
      </c>
      <c r="C5" s="362" t="s">
        <v>142</v>
      </c>
      <c r="D5" s="362"/>
      <c r="E5" s="58" t="s">
        <v>348</v>
      </c>
      <c r="F5" s="363" t="s">
        <v>304</v>
      </c>
      <c r="G5" s="641">
        <v>49114.0222634565</v>
      </c>
      <c r="H5" s="641">
        <v>38720.781829679996</v>
      </c>
      <c r="I5" s="641">
        <v>37409.691468650999</v>
      </c>
      <c r="J5" s="641">
        <v>30540.439970405001</v>
      </c>
      <c r="K5" s="641">
        <v>31156.107426096001</v>
      </c>
      <c r="L5" s="641">
        <v>30073.099605308002</v>
      </c>
      <c r="M5" s="641">
        <v>30845.757435424002</v>
      </c>
      <c r="N5" s="641">
        <v>31687.697930225004</v>
      </c>
      <c r="O5" s="641">
        <v>29379.747895740002</v>
      </c>
      <c r="P5" s="641">
        <v>28296.217956442502</v>
      </c>
      <c r="Q5" s="641">
        <v>27237.080130880004</v>
      </c>
      <c r="R5" s="641">
        <v>23892.252103007999</v>
      </c>
      <c r="S5" s="642">
        <v>24842.812105361998</v>
      </c>
      <c r="T5" s="642">
        <v>30106.891295556001</v>
      </c>
      <c r="U5" s="642">
        <v>33060.925121352499</v>
      </c>
      <c r="V5" s="642">
        <v>27538</v>
      </c>
      <c r="W5" s="642">
        <v>22486</v>
      </c>
      <c r="X5" s="642">
        <v>22318</v>
      </c>
      <c r="Y5" s="642">
        <v>24367</v>
      </c>
      <c r="Z5" s="642">
        <v>26626</v>
      </c>
      <c r="AA5" s="642">
        <v>25670</v>
      </c>
      <c r="AB5" s="642">
        <v>21731</v>
      </c>
      <c r="AC5" s="642">
        <v>20316</v>
      </c>
      <c r="AD5" s="642">
        <v>22355</v>
      </c>
      <c r="AE5" s="642">
        <v>25834</v>
      </c>
      <c r="AF5" s="642">
        <v>31223</v>
      </c>
      <c r="AG5" s="642">
        <v>29781</v>
      </c>
      <c r="AH5" s="642">
        <v>35242</v>
      </c>
      <c r="AI5" s="642">
        <v>41983</v>
      </c>
      <c r="AJ5" s="642">
        <v>41252</v>
      </c>
      <c r="AK5" s="642">
        <v>33014</v>
      </c>
      <c r="AL5" s="642">
        <v>26278</v>
      </c>
      <c r="AM5" s="642">
        <v>26288</v>
      </c>
      <c r="AN5" s="642">
        <v>24567</v>
      </c>
      <c r="AO5" s="642">
        <v>30788</v>
      </c>
      <c r="AP5" s="642">
        <v>33730</v>
      </c>
      <c r="AQ5" s="642">
        <v>39430</v>
      </c>
      <c r="AR5" s="642">
        <v>39325</v>
      </c>
      <c r="AS5" s="642">
        <v>38237</v>
      </c>
      <c r="AT5" s="364">
        <v>37962</v>
      </c>
      <c r="AU5" s="319">
        <v>34087</v>
      </c>
      <c r="AV5" s="319">
        <v>31645</v>
      </c>
      <c r="AW5" s="319">
        <v>32348</v>
      </c>
      <c r="AX5" s="319">
        <v>35636</v>
      </c>
      <c r="AY5" s="319">
        <v>39785</v>
      </c>
      <c r="AZ5" s="319">
        <v>40928</v>
      </c>
      <c r="BA5" s="319">
        <v>43461</v>
      </c>
      <c r="BB5" s="319">
        <v>47888</v>
      </c>
      <c r="BC5" s="319">
        <v>50290</v>
      </c>
      <c r="BD5" s="319">
        <v>39123</v>
      </c>
      <c r="BE5" s="319">
        <v>30731</v>
      </c>
      <c r="BF5" s="319">
        <v>31088</v>
      </c>
      <c r="BG5" s="319">
        <v>34978</v>
      </c>
      <c r="BH5" s="319">
        <v>37751</v>
      </c>
      <c r="BI5" s="319">
        <v>38819</v>
      </c>
      <c r="BJ5" s="319">
        <v>38673</v>
      </c>
      <c r="BK5" s="319">
        <v>30141</v>
      </c>
      <c r="BL5" s="319">
        <v>25552</v>
      </c>
      <c r="BM5" s="319">
        <v>26781</v>
      </c>
      <c r="BN5" s="319">
        <v>26749</v>
      </c>
      <c r="BO5" s="319">
        <v>32256</v>
      </c>
      <c r="BP5" s="319">
        <v>33323</v>
      </c>
      <c r="BQ5" s="319">
        <v>33880</v>
      </c>
      <c r="BR5" s="319">
        <v>43977</v>
      </c>
      <c r="BS5" s="319">
        <v>40964</v>
      </c>
      <c r="BT5" s="319">
        <v>37562</v>
      </c>
      <c r="BU5" s="319">
        <v>19117</v>
      </c>
      <c r="BV5" s="319">
        <v>26936</v>
      </c>
      <c r="BW5" s="319">
        <v>26148</v>
      </c>
      <c r="BX5" s="319">
        <v>26630</v>
      </c>
      <c r="BY5" s="319">
        <v>26846</v>
      </c>
      <c r="BZ5" s="319">
        <v>27277</v>
      </c>
      <c r="CA5" s="319">
        <v>29280</v>
      </c>
      <c r="CB5" s="319">
        <v>34113</v>
      </c>
      <c r="CC5" s="319">
        <v>35389</v>
      </c>
      <c r="CD5" s="319">
        <v>40508</v>
      </c>
      <c r="CE5" s="319">
        <v>44656</v>
      </c>
      <c r="CF5" s="319">
        <v>45306</v>
      </c>
      <c r="CG5" s="319">
        <v>41297</v>
      </c>
      <c r="CH5" s="319">
        <v>36240</v>
      </c>
      <c r="CI5" s="319">
        <v>40502</v>
      </c>
      <c r="CJ5" s="319">
        <v>48290</v>
      </c>
      <c r="CK5" s="319">
        <v>50669</v>
      </c>
      <c r="CL5" s="363">
        <v>51226</v>
      </c>
      <c r="CM5" s="319">
        <f t="shared" si="0"/>
        <v>33494.649101637937</v>
      </c>
      <c r="CN5" s="75" t="s">
        <v>167</v>
      </c>
      <c r="CO5" s="365">
        <f>'Cracker Yields'!B15</f>
        <v>0.98795180722891562</v>
      </c>
      <c r="CP5" s="365">
        <f>'Cracker Yields'!C15</f>
        <v>0.65714285714285725</v>
      </c>
      <c r="CQ5" s="365">
        <f>'Cracker Yields'!D15</f>
        <v>0.57894736842105254</v>
      </c>
      <c r="CR5" s="365">
        <f>'Cracker Yields'!E15</f>
        <v>0.62378167641325533</v>
      </c>
      <c r="CS5" s="75"/>
      <c r="CT5" s="75"/>
      <c r="CU5" s="75"/>
      <c r="CV5" s="75"/>
      <c r="CW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58"/>
      <c r="ED5" s="58"/>
      <c r="EE5" s="58"/>
      <c r="EF5" s="58"/>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row>
    <row r="6" spans="1:178">
      <c r="A6" s="1050"/>
      <c r="B6" s="2" t="s">
        <v>303</v>
      </c>
      <c r="C6" s="362" t="s">
        <v>142</v>
      </c>
      <c r="D6" s="362"/>
      <c r="E6" s="58" t="s">
        <v>348</v>
      </c>
      <c r="F6" s="363" t="s">
        <v>1</v>
      </c>
      <c r="G6" s="641">
        <v>43631.313088234165</v>
      </c>
      <c r="H6" s="641">
        <v>39243.55323776861</v>
      </c>
      <c r="I6" s="641">
        <v>31205.563965626789</v>
      </c>
      <c r="J6" s="641">
        <v>24540.773944761335</v>
      </c>
      <c r="K6" s="641">
        <v>31013.399635596197</v>
      </c>
      <c r="L6" s="641">
        <v>30866.690032439034</v>
      </c>
      <c r="M6" s="641">
        <v>32542.777318515167</v>
      </c>
      <c r="N6" s="641">
        <v>34766.73484037735</v>
      </c>
      <c r="O6" s="641">
        <v>33744.104365551655</v>
      </c>
      <c r="P6" s="641">
        <v>29046.32499958136</v>
      </c>
      <c r="Q6" s="641">
        <v>25793.077195677048</v>
      </c>
      <c r="R6" s="641">
        <v>27493.764495633251</v>
      </c>
      <c r="S6" s="642">
        <v>28466.87020223272</v>
      </c>
      <c r="T6" s="642">
        <v>28694.061824347376</v>
      </c>
      <c r="U6" s="642">
        <v>26463.486161464865</v>
      </c>
      <c r="V6" s="642">
        <v>21481.685806039997</v>
      </c>
      <c r="W6" s="642">
        <v>20476.011783310525</v>
      </c>
      <c r="X6" s="642">
        <v>23173.016320322728</v>
      </c>
      <c r="Y6" s="642">
        <v>25098.589921485713</v>
      </c>
      <c r="Z6" s="642">
        <v>26454.376320639996</v>
      </c>
      <c r="AA6" s="642">
        <v>27427.054845131817</v>
      </c>
      <c r="AB6" s="642">
        <v>24993.740456359999</v>
      </c>
      <c r="AC6" s="642">
        <v>24012.319996836362</v>
      </c>
      <c r="AD6" s="642">
        <v>25588.576244349999</v>
      </c>
      <c r="AE6" s="642">
        <v>28631.564479354285</v>
      </c>
      <c r="AF6" s="642">
        <v>28376.726158518177</v>
      </c>
      <c r="AG6" s="642">
        <v>31333.781952435711</v>
      </c>
      <c r="AH6" s="642">
        <v>33697.175464039996</v>
      </c>
      <c r="AI6" s="642">
        <v>33523.05242005</v>
      </c>
      <c r="AJ6" s="642">
        <v>29688.18424468478</v>
      </c>
      <c r="AK6" s="642">
        <v>29925.805242536844</v>
      </c>
      <c r="AL6" s="642">
        <v>27862.925676492858</v>
      </c>
      <c r="AM6" s="642">
        <v>25767.627706821429</v>
      </c>
      <c r="AN6" s="642">
        <v>26449.079522582855</v>
      </c>
      <c r="AO6" s="642">
        <v>28802.835794022729</v>
      </c>
      <c r="AP6" s="642">
        <v>31733.947800000002</v>
      </c>
      <c r="AQ6" s="642">
        <v>33378.030240114284</v>
      </c>
      <c r="AR6" s="642">
        <v>37069.771480659096</v>
      </c>
      <c r="AS6" s="642">
        <v>36895.167365600006</v>
      </c>
      <c r="AT6" s="364">
        <v>37560.738430181817</v>
      </c>
      <c r="AU6" s="319">
        <v>35304.381890315788</v>
      </c>
      <c r="AV6" s="319">
        <v>36295.803921857136</v>
      </c>
      <c r="AW6" s="319">
        <v>38813.761718314287</v>
      </c>
      <c r="AX6" s="319">
        <v>44238.26311767858</v>
      </c>
      <c r="AY6" s="319">
        <v>42409.232394000006</v>
      </c>
      <c r="AZ6" s="319">
        <v>43840.684336927268</v>
      </c>
      <c r="BA6" s="319">
        <v>44686.852038892859</v>
      </c>
      <c r="BB6" s="319">
        <v>48560.227976399998</v>
      </c>
      <c r="BC6" s="319">
        <v>48987.859997489126</v>
      </c>
      <c r="BD6" s="319">
        <v>36186.670356035713</v>
      </c>
      <c r="BE6" s="319">
        <v>32029.603580679999</v>
      </c>
      <c r="BF6" s="319">
        <v>32104.767242618178</v>
      </c>
      <c r="BG6" s="319">
        <v>35456.152203000005</v>
      </c>
      <c r="BH6" s="319">
        <v>36904.127532857136</v>
      </c>
      <c r="BI6" s="319">
        <v>39249.409738328577</v>
      </c>
      <c r="BJ6" s="319">
        <v>37281.31911867857</v>
      </c>
      <c r="BK6" s="319">
        <v>31878.777153416842</v>
      </c>
      <c r="BL6" s="319">
        <v>34139.328423913044</v>
      </c>
      <c r="BM6" s="319">
        <v>31812.598287749999</v>
      </c>
      <c r="BN6" s="319">
        <v>33914.872341125716</v>
      </c>
      <c r="BO6" s="319">
        <v>33910.443919209087</v>
      </c>
      <c r="BP6" s="319">
        <v>36394.104183021431</v>
      </c>
      <c r="BQ6" s="319">
        <v>37935.015970674285</v>
      </c>
      <c r="BR6" s="319">
        <v>37110.715443228575</v>
      </c>
      <c r="BS6" s="319">
        <v>32731.0845109</v>
      </c>
      <c r="BT6" s="319">
        <v>18682.538081618179</v>
      </c>
      <c r="BU6" s="319">
        <v>8512.3190064571427</v>
      </c>
      <c r="BV6" s="319">
        <v>14997.413298799998</v>
      </c>
      <c r="BW6" s="319">
        <v>25884.845151881818</v>
      </c>
      <c r="BX6" s="319">
        <v>28494.318380457142</v>
      </c>
      <c r="BY6" s="319">
        <v>28350.13010704</v>
      </c>
      <c r="BZ6" s="319">
        <v>27989.704722327271</v>
      </c>
      <c r="CA6" s="319">
        <v>27738.006573704544</v>
      </c>
      <c r="CB6" s="319">
        <v>27269.176726885715</v>
      </c>
      <c r="CC6" s="319">
        <v>31285.571574900001</v>
      </c>
      <c r="CD6" s="319">
        <v>36487.851655519997</v>
      </c>
      <c r="CE6" s="319">
        <v>40202.076637973689</v>
      </c>
      <c r="CF6" s="319">
        <v>41650.945542428264</v>
      </c>
      <c r="CG6" s="319">
        <v>40821.076185757149</v>
      </c>
      <c r="CH6" s="319">
        <v>42714.896412692629</v>
      </c>
      <c r="CI6" s="319">
        <v>46413.068289990915</v>
      </c>
      <c r="CJ6" s="319">
        <v>49914.294024778559</v>
      </c>
      <c r="CK6" s="319">
        <v>46573.014362822854</v>
      </c>
      <c r="CL6" s="363">
        <v>49256.104522404545</v>
      </c>
      <c r="CM6" s="319">
        <f>AVERAGE(G6:CL6)</f>
        <v>32884.85344804918</v>
      </c>
      <c r="CN6" s="75" t="s">
        <v>168</v>
      </c>
      <c r="CO6" s="365">
        <f>'Cracker Yields'!B16</f>
        <v>1.2048192771084376E-2</v>
      </c>
      <c r="CP6" s="365">
        <f>'Cracker Yields'!C16</f>
        <v>0.34285714285714275</v>
      </c>
      <c r="CQ6" s="365">
        <f>'Cracker Yields'!D16</f>
        <v>0.42105263157894746</v>
      </c>
      <c r="CR6" s="365">
        <f>'Cracker Yields'!E16</f>
        <v>0.37621832358674467</v>
      </c>
      <c r="CS6" s="75"/>
      <c r="CT6" s="75"/>
      <c r="CU6" s="75"/>
      <c r="CV6" s="75"/>
      <c r="CW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366">
        <v>52.32</v>
      </c>
      <c r="ED6" s="75"/>
      <c r="EE6" s="75"/>
      <c r="EF6" s="75"/>
      <c r="EG6" s="58"/>
      <c r="EH6" s="58"/>
      <c r="EI6" s="58"/>
      <c r="EJ6" s="58"/>
      <c r="EK6" s="58"/>
      <c r="EL6" s="58"/>
      <c r="EM6" s="58"/>
      <c r="EN6" s="58"/>
      <c r="EO6" s="58"/>
      <c r="EP6" s="58"/>
      <c r="EQ6" s="58"/>
      <c r="ER6" s="58"/>
      <c r="ES6" s="58"/>
      <c r="ET6" s="58"/>
      <c r="EU6" s="58"/>
      <c r="EV6" s="58"/>
      <c r="EW6" s="58"/>
      <c r="EX6" s="58"/>
      <c r="EY6" s="58"/>
      <c r="EZ6" s="58"/>
      <c r="FA6" s="58"/>
      <c r="FB6" s="58"/>
      <c r="FC6" s="58"/>
      <c r="FD6" s="58"/>
      <c r="FE6" s="58"/>
      <c r="FF6" s="58"/>
      <c r="FG6" s="58"/>
      <c r="FH6" s="58"/>
      <c r="FI6" s="58"/>
      <c r="FJ6" s="58"/>
      <c r="FK6" s="58"/>
      <c r="FL6" s="58"/>
      <c r="FM6" s="58"/>
      <c r="FN6" s="58"/>
      <c r="FO6" s="58"/>
      <c r="FP6" s="58"/>
      <c r="FQ6" s="58"/>
      <c r="FR6" s="58"/>
      <c r="FS6" s="58"/>
      <c r="FT6" s="58"/>
      <c r="FU6" s="58"/>
      <c r="FV6" s="58"/>
    </row>
    <row r="7" spans="1:178">
      <c r="A7" s="1051"/>
      <c r="B7" s="224" t="s">
        <v>305</v>
      </c>
      <c r="C7" s="367" t="s">
        <v>306</v>
      </c>
      <c r="D7" s="367"/>
      <c r="E7" s="236" t="s">
        <v>348</v>
      </c>
      <c r="F7" s="368" t="s">
        <v>307</v>
      </c>
      <c r="G7" s="368">
        <v>690</v>
      </c>
      <c r="H7" s="368">
        <v>680</v>
      </c>
      <c r="I7" s="368">
        <v>640</v>
      </c>
      <c r="J7" s="368">
        <v>620</v>
      </c>
      <c r="K7" s="368">
        <v>595</v>
      </c>
      <c r="L7" s="368">
        <v>614</v>
      </c>
      <c r="M7" s="368">
        <v>602</v>
      </c>
      <c r="N7" s="368">
        <v>591</v>
      </c>
      <c r="O7" s="368">
        <v>582</v>
      </c>
      <c r="P7" s="368">
        <v>564</v>
      </c>
      <c r="Q7" s="368">
        <v>577</v>
      </c>
      <c r="R7" s="368">
        <v>544</v>
      </c>
      <c r="S7" s="319">
        <v>549</v>
      </c>
      <c r="T7" s="369">
        <v>562</v>
      </c>
      <c r="U7" s="369">
        <v>575</v>
      </c>
      <c r="V7" s="319">
        <v>588</v>
      </c>
      <c r="W7" s="369">
        <v>600</v>
      </c>
      <c r="X7" s="369">
        <v>614</v>
      </c>
      <c r="Y7" s="369">
        <v>628</v>
      </c>
      <c r="Z7" s="369">
        <v>638</v>
      </c>
      <c r="AA7" s="369">
        <v>651</v>
      </c>
      <c r="AB7" s="369">
        <v>664</v>
      </c>
      <c r="AC7" s="369">
        <v>677</v>
      </c>
      <c r="AD7" s="319">
        <v>689</v>
      </c>
      <c r="AE7" s="369">
        <v>602</v>
      </c>
      <c r="AF7" s="369">
        <v>615</v>
      </c>
      <c r="AG7" s="369">
        <v>628</v>
      </c>
      <c r="AH7" s="319">
        <v>640</v>
      </c>
      <c r="AI7" s="369">
        <v>654</v>
      </c>
      <c r="AJ7" s="369">
        <v>644</v>
      </c>
      <c r="AK7" s="369">
        <v>679</v>
      </c>
      <c r="AL7" s="369">
        <v>691</v>
      </c>
      <c r="AM7" s="369">
        <v>704</v>
      </c>
      <c r="AN7" s="369">
        <v>717</v>
      </c>
      <c r="AO7" s="369">
        <v>629.54360858123698</v>
      </c>
      <c r="AP7" s="369">
        <v>642.28255936563301</v>
      </c>
      <c r="AQ7" s="369">
        <v>655.02151015003005</v>
      </c>
      <c r="AR7" s="369">
        <v>667.76046093442596</v>
      </c>
      <c r="AS7" s="369">
        <v>680.49941171882301</v>
      </c>
      <c r="AT7" s="369">
        <v>693.23836250321904</v>
      </c>
      <c r="AU7" s="369">
        <v>725</v>
      </c>
      <c r="AV7" s="369">
        <v>731</v>
      </c>
      <c r="AW7" s="369">
        <v>683.35192411641094</v>
      </c>
      <c r="AX7" s="369">
        <v>727.45879248730159</v>
      </c>
      <c r="AY7" s="369">
        <v>790.46535767833188</v>
      </c>
      <c r="AZ7" s="369">
        <v>835.82228336641663</v>
      </c>
      <c r="BA7" s="369">
        <v>855.64779771974872</v>
      </c>
      <c r="BB7" s="369">
        <v>831.01152604586082</v>
      </c>
      <c r="BC7" s="369">
        <v>894.32305357357711</v>
      </c>
      <c r="BD7" s="369">
        <v>848.00352710543211</v>
      </c>
      <c r="BE7" s="369">
        <v>762.53950609685091</v>
      </c>
      <c r="BF7" s="369">
        <v>747.97322905859232</v>
      </c>
      <c r="BG7" s="369">
        <v>816.24945468112071</v>
      </c>
      <c r="BH7" s="369">
        <v>713.84568622483982</v>
      </c>
      <c r="BI7" s="369">
        <v>547.77</v>
      </c>
      <c r="BJ7" s="369">
        <v>505.25</v>
      </c>
      <c r="BK7" s="369">
        <v>522.21</v>
      </c>
      <c r="BL7" s="369">
        <v>559.08000000000004</v>
      </c>
      <c r="BM7" s="369">
        <v>496.47</v>
      </c>
      <c r="BN7" s="369">
        <v>463.19</v>
      </c>
      <c r="BO7" s="369">
        <v>620.35</v>
      </c>
      <c r="BP7" s="369">
        <v>540.62</v>
      </c>
      <c r="BQ7" s="369">
        <v>605.28</v>
      </c>
      <c r="BR7" s="369">
        <v>485.79</v>
      </c>
      <c r="BS7" s="369">
        <v>478.65</v>
      </c>
      <c r="BT7" s="369">
        <v>313.06</v>
      </c>
      <c r="BU7" s="369">
        <v>546.95000000000005</v>
      </c>
      <c r="BV7" s="369">
        <v>498.46</v>
      </c>
      <c r="BW7" s="369">
        <v>285.66000000000003</v>
      </c>
      <c r="BX7" s="369">
        <v>264.85000000000002</v>
      </c>
      <c r="BY7" s="369">
        <v>334.58</v>
      </c>
      <c r="BZ7" s="369">
        <v>410.09</v>
      </c>
      <c r="CA7" s="369">
        <v>471.71</v>
      </c>
      <c r="CB7" s="369">
        <v>532.29999999999995</v>
      </c>
      <c r="CC7" s="369">
        <v>588.39</v>
      </c>
      <c r="CD7" s="369">
        <v>675.69</v>
      </c>
      <c r="CE7" s="369">
        <v>872.05</v>
      </c>
      <c r="CF7" s="369">
        <v>766.06</v>
      </c>
      <c r="CG7" s="369">
        <v>565.04999999999995</v>
      </c>
      <c r="CH7" s="369">
        <v>567.25</v>
      </c>
      <c r="CI7" s="369">
        <v>619.33000000000004</v>
      </c>
      <c r="CJ7" s="369">
        <v>708.17</v>
      </c>
      <c r="CK7" s="369">
        <v>868.98</v>
      </c>
      <c r="CL7" s="370">
        <v>938.53</v>
      </c>
      <c r="CM7" s="319">
        <f t="shared" si="0"/>
        <v>629.65307204056967</v>
      </c>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58"/>
      <c r="EO7" s="58"/>
      <c r="EP7" s="58"/>
      <c r="EQ7" s="58"/>
      <c r="ER7" s="58"/>
      <c r="ES7" s="58"/>
      <c r="ET7" s="58"/>
      <c r="EU7" s="58"/>
      <c r="EV7" s="58"/>
      <c r="EW7" s="58"/>
      <c r="EX7" s="58"/>
      <c r="EY7" s="58"/>
      <c r="EZ7" s="58"/>
      <c r="FA7" s="58"/>
      <c r="FB7" s="58"/>
      <c r="FC7" s="58"/>
      <c r="FD7" s="58"/>
      <c r="FE7" s="58"/>
      <c r="FF7" s="58"/>
      <c r="FG7" s="58"/>
      <c r="FH7" s="58"/>
      <c r="FI7" s="58"/>
      <c r="FJ7" s="58"/>
      <c r="FK7" s="58"/>
      <c r="FL7" s="58"/>
      <c r="FM7" s="58"/>
      <c r="FN7" s="58"/>
      <c r="FO7" s="58"/>
      <c r="FP7" s="58"/>
      <c r="FQ7" s="58"/>
      <c r="FR7" s="58"/>
      <c r="FS7" s="58"/>
      <c r="FT7" s="58"/>
      <c r="FU7" s="58"/>
      <c r="FV7" s="58"/>
    </row>
    <row r="8" spans="1:178">
      <c r="A8" s="1052" t="s">
        <v>308</v>
      </c>
      <c r="B8" s="286" t="s">
        <v>305</v>
      </c>
      <c r="C8" s="356" t="s">
        <v>142</v>
      </c>
      <c r="D8" s="356"/>
      <c r="E8" s="371" t="s">
        <v>348</v>
      </c>
      <c r="F8" s="372" t="s">
        <v>137</v>
      </c>
      <c r="G8" s="373">
        <v>56500</v>
      </c>
      <c r="H8" s="373">
        <v>56300</v>
      </c>
      <c r="I8" s="373">
        <v>56100</v>
      </c>
      <c r="J8" s="373">
        <v>55900</v>
      </c>
      <c r="K8" s="373">
        <v>55800</v>
      </c>
      <c r="L8" s="373">
        <v>55600</v>
      </c>
      <c r="M8" s="373">
        <v>55200</v>
      </c>
      <c r="N8" s="373">
        <v>57300</v>
      </c>
      <c r="O8" s="373">
        <v>54100</v>
      </c>
      <c r="P8" s="372">
        <v>55200</v>
      </c>
      <c r="Q8" s="372">
        <v>52300</v>
      </c>
      <c r="R8" s="374">
        <v>45600</v>
      </c>
      <c r="S8" s="373">
        <v>47020</v>
      </c>
      <c r="T8" s="374">
        <v>45750</v>
      </c>
      <c r="U8" s="375">
        <v>46150</v>
      </c>
      <c r="V8" s="373">
        <v>45650</v>
      </c>
      <c r="W8" s="374">
        <v>36940</v>
      </c>
      <c r="X8" s="373">
        <v>36950</v>
      </c>
      <c r="Y8" s="376">
        <v>37390</v>
      </c>
      <c r="Z8" s="373">
        <v>37950</v>
      </c>
      <c r="AA8" s="373">
        <v>38680</v>
      </c>
      <c r="AB8" s="376">
        <v>39250</v>
      </c>
      <c r="AC8" s="375">
        <v>39610</v>
      </c>
      <c r="AD8" s="373">
        <v>39920</v>
      </c>
      <c r="AE8" s="376">
        <v>39990</v>
      </c>
      <c r="AF8" s="373">
        <v>40250</v>
      </c>
      <c r="AG8" s="375">
        <v>41270</v>
      </c>
      <c r="AH8" s="373">
        <v>42350</v>
      </c>
      <c r="AI8" s="374">
        <v>57680</v>
      </c>
      <c r="AJ8" s="373">
        <v>60070</v>
      </c>
      <c r="AK8" s="373">
        <v>58600</v>
      </c>
      <c r="AL8" s="373">
        <v>56250</v>
      </c>
      <c r="AM8" s="373">
        <v>54760</v>
      </c>
      <c r="AN8" s="373">
        <v>53400</v>
      </c>
      <c r="AO8" s="373">
        <v>52470</v>
      </c>
      <c r="AP8" s="373">
        <v>51630</v>
      </c>
      <c r="AQ8" s="373">
        <v>52140</v>
      </c>
      <c r="AR8" s="373">
        <v>52030</v>
      </c>
      <c r="AS8" s="373">
        <v>51990</v>
      </c>
      <c r="AT8" s="377">
        <v>57152</v>
      </c>
      <c r="AU8" s="373">
        <v>58526</v>
      </c>
      <c r="AV8" s="373">
        <v>58277</v>
      </c>
      <c r="AW8" s="373">
        <v>55909</v>
      </c>
      <c r="AX8" s="373">
        <v>55303</v>
      </c>
      <c r="AY8" s="373">
        <v>58424</v>
      </c>
      <c r="AZ8" s="373">
        <v>56706</v>
      </c>
      <c r="BA8" s="373">
        <v>57565</v>
      </c>
      <c r="BB8" s="373">
        <v>61481</v>
      </c>
      <c r="BC8" s="373">
        <v>61877</v>
      </c>
      <c r="BD8" s="373">
        <v>61367</v>
      </c>
      <c r="BE8" s="373">
        <v>49658</v>
      </c>
      <c r="BF8" s="373">
        <v>41296</v>
      </c>
      <c r="BG8" s="373">
        <v>39412</v>
      </c>
      <c r="BH8" s="373">
        <v>42670</v>
      </c>
      <c r="BI8" s="373">
        <v>42621</v>
      </c>
      <c r="BJ8" s="373">
        <v>43930</v>
      </c>
      <c r="BK8" s="373">
        <v>44300</v>
      </c>
      <c r="BL8" s="373">
        <v>44000</v>
      </c>
      <c r="BM8" s="373">
        <v>46900</v>
      </c>
      <c r="BN8" s="373">
        <v>48100</v>
      </c>
      <c r="BO8" s="373">
        <v>52100</v>
      </c>
      <c r="BP8" s="373">
        <v>48600</v>
      </c>
      <c r="BQ8" s="373">
        <v>47000</v>
      </c>
      <c r="BR8" s="373">
        <v>52400</v>
      </c>
      <c r="BS8" s="373">
        <v>52900</v>
      </c>
      <c r="BT8" s="373">
        <v>48400</v>
      </c>
      <c r="BU8" s="378">
        <v>37400</v>
      </c>
      <c r="BV8" s="378">
        <v>24900</v>
      </c>
      <c r="BW8" s="378">
        <v>30300</v>
      </c>
      <c r="BX8" s="378">
        <v>33900</v>
      </c>
      <c r="BY8" s="378">
        <v>33100</v>
      </c>
      <c r="BZ8" s="378">
        <v>34400</v>
      </c>
      <c r="CA8" s="378">
        <v>32600</v>
      </c>
      <c r="CB8" s="378">
        <v>32500</v>
      </c>
      <c r="CC8" s="378">
        <v>40800</v>
      </c>
      <c r="CD8" s="378">
        <v>47900</v>
      </c>
      <c r="CE8" s="378">
        <v>48900</v>
      </c>
      <c r="CF8" s="378">
        <v>57200</v>
      </c>
      <c r="CG8" s="378">
        <v>62200</v>
      </c>
      <c r="CH8" s="378">
        <v>70100</v>
      </c>
      <c r="CI8" s="378">
        <v>75100</v>
      </c>
      <c r="CJ8" s="378">
        <v>71430</v>
      </c>
      <c r="CK8" s="378">
        <v>78990</v>
      </c>
      <c r="CL8" s="379">
        <v>72940</v>
      </c>
      <c r="CM8" s="359">
        <f t="shared" si="0"/>
        <v>49804.452380952382</v>
      </c>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row>
    <row r="9" spans="1:178">
      <c r="A9" s="1053"/>
      <c r="B9" s="2" t="s">
        <v>305</v>
      </c>
      <c r="C9" s="362" t="s">
        <v>142</v>
      </c>
      <c r="D9" s="362"/>
      <c r="E9" s="235" t="s">
        <v>348</v>
      </c>
      <c r="F9" s="380" t="s">
        <v>403</v>
      </c>
      <c r="G9" s="376">
        <v>78900</v>
      </c>
      <c r="H9" s="376">
        <v>75500</v>
      </c>
      <c r="I9" s="376">
        <v>76300</v>
      </c>
      <c r="J9" s="376">
        <v>77300</v>
      </c>
      <c r="K9" s="376">
        <v>74500</v>
      </c>
      <c r="L9" s="376">
        <v>78800</v>
      </c>
      <c r="M9" s="376">
        <v>75500</v>
      </c>
      <c r="N9" s="376">
        <v>77200</v>
      </c>
      <c r="O9" s="376">
        <v>71900</v>
      </c>
      <c r="P9" s="380">
        <v>74600</v>
      </c>
      <c r="Q9" s="380">
        <v>72500</v>
      </c>
      <c r="R9" s="381">
        <v>70300</v>
      </c>
      <c r="S9" s="376">
        <v>69049</v>
      </c>
      <c r="T9" s="381">
        <v>68803</v>
      </c>
      <c r="U9" s="382">
        <v>60570</v>
      </c>
      <c r="V9" s="376">
        <v>69050</v>
      </c>
      <c r="W9" s="381">
        <v>64550</v>
      </c>
      <c r="X9" s="376">
        <v>64300</v>
      </c>
      <c r="Y9" s="376">
        <v>69051</v>
      </c>
      <c r="Z9" s="376">
        <v>64800</v>
      </c>
      <c r="AA9" s="376">
        <v>67700</v>
      </c>
      <c r="AB9" s="376">
        <v>69052</v>
      </c>
      <c r="AC9" s="382">
        <v>69405</v>
      </c>
      <c r="AD9" s="376">
        <v>63700</v>
      </c>
      <c r="AE9" s="376">
        <v>69053</v>
      </c>
      <c r="AF9" s="376">
        <v>62939</v>
      </c>
      <c r="AG9" s="382">
        <v>65350</v>
      </c>
      <c r="AH9" s="376">
        <v>69054</v>
      </c>
      <c r="AI9" s="381">
        <v>63700</v>
      </c>
      <c r="AJ9" s="376">
        <v>61750</v>
      </c>
      <c r="AK9" s="383">
        <v>69055</v>
      </c>
      <c r="AL9" s="376">
        <v>68800</v>
      </c>
      <c r="AM9" s="376">
        <v>63500</v>
      </c>
      <c r="AN9" s="383">
        <v>69056</v>
      </c>
      <c r="AO9" s="376">
        <v>64500</v>
      </c>
      <c r="AP9" s="376">
        <v>64580</v>
      </c>
      <c r="AQ9" s="383">
        <v>69057</v>
      </c>
      <c r="AR9" s="376">
        <v>62925</v>
      </c>
      <c r="AS9" s="376">
        <v>71158</v>
      </c>
      <c r="AT9" s="383">
        <v>69058</v>
      </c>
      <c r="AU9" s="376">
        <v>79391</v>
      </c>
      <c r="AV9" s="376">
        <v>87624</v>
      </c>
      <c r="AW9" s="376">
        <v>91678</v>
      </c>
      <c r="AX9" s="376">
        <v>90255</v>
      </c>
      <c r="AY9" s="376">
        <v>110428</v>
      </c>
      <c r="AZ9" s="376">
        <v>113142</v>
      </c>
      <c r="BA9" s="376">
        <v>109389</v>
      </c>
      <c r="BB9" s="376">
        <v>117818</v>
      </c>
      <c r="BC9" s="376">
        <v>104990</v>
      </c>
      <c r="BD9" s="376">
        <v>79612</v>
      </c>
      <c r="BE9" s="376">
        <v>76089</v>
      </c>
      <c r="BF9" s="376">
        <v>79660</v>
      </c>
      <c r="BG9" s="376">
        <v>80367</v>
      </c>
      <c r="BH9" s="376">
        <v>75404</v>
      </c>
      <c r="BI9" s="376">
        <v>71634</v>
      </c>
      <c r="BJ9" s="376">
        <v>63615</v>
      </c>
      <c r="BK9" s="376">
        <v>66900</v>
      </c>
      <c r="BL9" s="376">
        <v>74300</v>
      </c>
      <c r="BM9" s="376">
        <v>76800</v>
      </c>
      <c r="BN9" s="376">
        <v>85000</v>
      </c>
      <c r="BO9" s="376">
        <v>87600</v>
      </c>
      <c r="BP9" s="376">
        <v>81700</v>
      </c>
      <c r="BQ9" s="376">
        <v>62200</v>
      </c>
      <c r="BR9" s="376">
        <v>63400</v>
      </c>
      <c r="BS9" s="376">
        <v>65100</v>
      </c>
      <c r="BT9" s="376">
        <v>56000</v>
      </c>
      <c r="BU9" s="384">
        <v>50100</v>
      </c>
      <c r="BV9" s="384">
        <v>28400</v>
      </c>
      <c r="BW9" s="384">
        <v>21600</v>
      </c>
      <c r="BX9" s="384">
        <v>22700</v>
      </c>
      <c r="BY9" s="384">
        <v>28600</v>
      </c>
      <c r="BZ9" s="384">
        <v>40200</v>
      </c>
      <c r="CA9" s="384">
        <v>50700</v>
      </c>
      <c r="CB9" s="384">
        <v>66900</v>
      </c>
      <c r="CC9" s="384">
        <v>94800</v>
      </c>
      <c r="CD9" s="384">
        <v>86100</v>
      </c>
      <c r="CE9" s="384">
        <v>58900</v>
      </c>
      <c r="CF9" s="384">
        <v>57400</v>
      </c>
      <c r="CG9" s="384">
        <v>80900</v>
      </c>
      <c r="CH9" s="384">
        <v>72100</v>
      </c>
      <c r="CI9" s="384">
        <v>73600</v>
      </c>
      <c r="CJ9" s="384">
        <v>88040</v>
      </c>
      <c r="CK9" s="384">
        <v>107190</v>
      </c>
      <c r="CL9" s="385">
        <v>116560</v>
      </c>
      <c r="CM9" s="319">
        <f t="shared" si="0"/>
        <v>72163.702380952382</v>
      </c>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row>
    <row r="10" spans="1:178">
      <c r="A10" s="1053"/>
      <c r="B10" s="2" t="s">
        <v>305</v>
      </c>
      <c r="C10" s="362" t="s">
        <v>142</v>
      </c>
      <c r="D10" s="362"/>
      <c r="E10" s="235" t="s">
        <v>348</v>
      </c>
      <c r="F10" s="380" t="s">
        <v>136</v>
      </c>
      <c r="G10" s="376">
        <v>24398.880000000001</v>
      </c>
      <c r="H10" s="376">
        <v>25035.784242424201</v>
      </c>
      <c r="I10" s="376">
        <v>25672.688484848499</v>
      </c>
      <c r="J10" s="376">
        <v>26309.592727272699</v>
      </c>
      <c r="K10" s="376">
        <v>26946.496969697</v>
      </c>
      <c r="L10" s="376">
        <v>27583.4012121212</v>
      </c>
      <c r="M10" s="376">
        <v>28220.305454545502</v>
      </c>
      <c r="N10" s="376">
        <v>28857.209696969701</v>
      </c>
      <c r="O10" s="376">
        <v>29494.113939393901</v>
      </c>
      <c r="P10" s="381">
        <v>30131.018181818199</v>
      </c>
      <c r="Q10" s="376">
        <v>30767.922424242399</v>
      </c>
      <c r="R10" s="376">
        <v>31404.8266666667</v>
      </c>
      <c r="S10" s="376">
        <v>31722.6</v>
      </c>
      <c r="T10" s="381">
        <v>32547.5</v>
      </c>
      <c r="U10" s="382">
        <v>34500</v>
      </c>
      <c r="V10" s="376">
        <v>33372.400000000001</v>
      </c>
      <c r="W10" s="381">
        <v>34197.300000000003</v>
      </c>
      <c r="X10" s="376">
        <v>35022.199999999997</v>
      </c>
      <c r="Y10" s="376">
        <v>35847.1</v>
      </c>
      <c r="Z10" s="376">
        <v>37700</v>
      </c>
      <c r="AA10" s="376">
        <v>36672</v>
      </c>
      <c r="AB10" s="376">
        <v>37496.9</v>
      </c>
      <c r="AC10" s="382">
        <v>38321.800000000003</v>
      </c>
      <c r="AD10" s="376">
        <v>39146.699999999997</v>
      </c>
      <c r="AE10" s="376">
        <v>35300</v>
      </c>
      <c r="AF10" s="376">
        <v>39971.599999999999</v>
      </c>
      <c r="AG10" s="382">
        <v>40796.5</v>
      </c>
      <c r="AH10" s="376">
        <v>41621.4</v>
      </c>
      <c r="AI10" s="381">
        <v>42446.3</v>
      </c>
      <c r="AJ10" s="383">
        <v>38276</v>
      </c>
      <c r="AK10" s="376">
        <v>40271.199999999997</v>
      </c>
      <c r="AL10" s="376">
        <v>40096.1</v>
      </c>
      <c r="AM10" s="376">
        <v>41921</v>
      </c>
      <c r="AN10" s="376">
        <v>40745.9</v>
      </c>
      <c r="AO10" s="383">
        <v>40250</v>
      </c>
      <c r="AP10" s="376">
        <v>41570.800000000003</v>
      </c>
      <c r="AQ10" s="376">
        <v>39395.699999999997</v>
      </c>
      <c r="AR10" s="376">
        <v>38220.6</v>
      </c>
      <c r="AS10" s="376">
        <v>39045.5</v>
      </c>
      <c r="AT10" s="383">
        <v>40278</v>
      </c>
      <c r="AU10" s="376">
        <v>40825</v>
      </c>
      <c r="AV10" s="376">
        <v>39651</v>
      </c>
      <c r="AW10" s="376">
        <v>40745</v>
      </c>
      <c r="AX10" s="376">
        <v>43210</v>
      </c>
      <c r="AY10" s="376">
        <v>49220</v>
      </c>
      <c r="AZ10" s="376">
        <v>47166</v>
      </c>
      <c r="BA10" s="376">
        <v>48765</v>
      </c>
      <c r="BB10" s="376">
        <v>49461</v>
      </c>
      <c r="BC10" s="376">
        <v>53775</v>
      </c>
      <c r="BD10" s="376">
        <v>54370</v>
      </c>
      <c r="BE10" s="376">
        <v>41640</v>
      </c>
      <c r="BF10" s="376">
        <v>37117</v>
      </c>
      <c r="BG10" s="376">
        <v>37203</v>
      </c>
      <c r="BH10" s="376">
        <v>40633</v>
      </c>
      <c r="BI10" s="376">
        <v>41946</v>
      </c>
      <c r="BJ10" s="376">
        <v>44260</v>
      </c>
      <c r="BK10" s="376">
        <v>46500</v>
      </c>
      <c r="BL10" s="376">
        <v>40900</v>
      </c>
      <c r="BM10" s="376">
        <v>43100</v>
      </c>
      <c r="BN10" s="376">
        <v>41200</v>
      </c>
      <c r="BO10" s="376">
        <v>43200</v>
      </c>
      <c r="BP10" s="376">
        <v>43200</v>
      </c>
      <c r="BQ10" s="376">
        <v>45400</v>
      </c>
      <c r="BR10" s="376">
        <v>48300</v>
      </c>
      <c r="BS10" s="376">
        <v>47500</v>
      </c>
      <c r="BT10" s="376">
        <v>43200</v>
      </c>
      <c r="BU10" s="384">
        <v>30300</v>
      </c>
      <c r="BV10" s="384">
        <v>20000</v>
      </c>
      <c r="BW10" s="384">
        <v>25600</v>
      </c>
      <c r="BX10" s="384">
        <v>36800</v>
      </c>
      <c r="BY10" s="384">
        <v>39400</v>
      </c>
      <c r="BZ10" s="384">
        <v>39300</v>
      </c>
      <c r="CA10" s="384">
        <v>38800</v>
      </c>
      <c r="CB10" s="384">
        <v>38500</v>
      </c>
      <c r="CC10" s="384">
        <v>34300</v>
      </c>
      <c r="CD10" s="384">
        <v>37200</v>
      </c>
      <c r="CE10" s="384">
        <v>42600</v>
      </c>
      <c r="CF10" s="384">
        <v>46400</v>
      </c>
      <c r="CG10" s="384">
        <v>47800</v>
      </c>
      <c r="CH10" s="384">
        <v>47000</v>
      </c>
      <c r="CI10" s="384">
        <v>49100</v>
      </c>
      <c r="CJ10" s="384">
        <v>52210</v>
      </c>
      <c r="CK10" s="384">
        <v>56230</v>
      </c>
      <c r="CL10" s="385">
        <v>53120</v>
      </c>
      <c r="CM10" s="319">
        <f t="shared" si="0"/>
        <v>39151.45642857143</v>
      </c>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row>
    <row r="11" spans="1:178">
      <c r="A11" s="1053"/>
      <c r="B11" s="2" t="s">
        <v>305</v>
      </c>
      <c r="C11" s="362" t="s">
        <v>142</v>
      </c>
      <c r="D11" s="362"/>
      <c r="E11" s="235" t="s">
        <v>348</v>
      </c>
      <c r="F11" s="380" t="s">
        <v>135</v>
      </c>
      <c r="G11" s="376">
        <v>37759.000000000102</v>
      </c>
      <c r="H11" s="376">
        <v>36931.1292929294</v>
      </c>
      <c r="I11" s="376">
        <v>36103.258585858697</v>
      </c>
      <c r="J11" s="376">
        <v>35275.3878787879</v>
      </c>
      <c r="K11" s="376">
        <v>34447.517171717198</v>
      </c>
      <c r="L11" s="376">
        <v>33619.646464646503</v>
      </c>
      <c r="M11" s="376">
        <v>32791.775757575801</v>
      </c>
      <c r="N11" s="376">
        <v>31963.905050505098</v>
      </c>
      <c r="O11" s="376">
        <v>31136.034343434399</v>
      </c>
      <c r="P11" s="381">
        <v>30308.163636363701</v>
      </c>
      <c r="Q11" s="376">
        <v>29480.292929292998</v>
      </c>
      <c r="R11" s="376">
        <v>28652.422222222202</v>
      </c>
      <c r="S11" s="376">
        <v>31782.666666666701</v>
      </c>
      <c r="T11" s="381">
        <v>31356.666666666701</v>
      </c>
      <c r="U11" s="382">
        <v>22930</v>
      </c>
      <c r="V11" s="376">
        <v>22278</v>
      </c>
      <c r="W11" s="381">
        <v>20505</v>
      </c>
      <c r="X11" s="376">
        <v>21079</v>
      </c>
      <c r="Y11" s="376">
        <v>22653</v>
      </c>
      <c r="Z11" s="376">
        <v>22279</v>
      </c>
      <c r="AA11" s="376">
        <v>22327</v>
      </c>
      <c r="AB11" s="376">
        <v>23801</v>
      </c>
      <c r="AC11" s="382">
        <v>22740</v>
      </c>
      <c r="AD11" s="376">
        <v>22280</v>
      </c>
      <c r="AE11" s="376">
        <v>21799</v>
      </c>
      <c r="AF11" s="376">
        <v>21523</v>
      </c>
      <c r="AG11" s="382">
        <v>23055</v>
      </c>
      <c r="AH11" s="376">
        <v>22281</v>
      </c>
      <c r="AI11" s="381">
        <v>21450</v>
      </c>
      <c r="AJ11" s="376">
        <v>22640</v>
      </c>
      <c r="AK11" s="376">
        <v>25818.666666666701</v>
      </c>
      <c r="AL11" s="383">
        <v>22282</v>
      </c>
      <c r="AM11" s="376">
        <v>25392.666666666701</v>
      </c>
      <c r="AN11" s="376">
        <v>24966.666666666701</v>
      </c>
      <c r="AO11" s="376">
        <v>24540.666666666701</v>
      </c>
      <c r="AP11" s="383">
        <v>22283</v>
      </c>
      <c r="AQ11" s="376">
        <v>24114.666666666701</v>
      </c>
      <c r="AR11" s="376">
        <v>23688.666666666701</v>
      </c>
      <c r="AS11" s="376">
        <v>23262.666666666701</v>
      </c>
      <c r="AT11" s="383">
        <v>22284</v>
      </c>
      <c r="AU11" s="376">
        <v>23133</v>
      </c>
      <c r="AV11" s="376">
        <v>21818</v>
      </c>
      <c r="AW11" s="376">
        <v>22281</v>
      </c>
      <c r="AX11" s="376">
        <v>24177</v>
      </c>
      <c r="AY11" s="376">
        <v>28071</v>
      </c>
      <c r="AZ11" s="376">
        <v>28045</v>
      </c>
      <c r="BA11" s="376">
        <v>29524</v>
      </c>
      <c r="BB11" s="376">
        <v>28439</v>
      </c>
      <c r="BC11" s="376">
        <v>30668</v>
      </c>
      <c r="BD11" s="376">
        <v>33226</v>
      </c>
      <c r="BE11" s="376">
        <v>28437</v>
      </c>
      <c r="BF11" s="376">
        <v>23915</v>
      </c>
      <c r="BG11" s="376">
        <v>25268</v>
      </c>
      <c r="BH11" s="376">
        <v>28957</v>
      </c>
      <c r="BI11" s="376">
        <v>29150</v>
      </c>
      <c r="BJ11" s="376">
        <v>30044</v>
      </c>
      <c r="BK11" s="376">
        <v>28400</v>
      </c>
      <c r="BL11" s="376">
        <v>25400</v>
      </c>
      <c r="BM11" s="376">
        <v>26700</v>
      </c>
      <c r="BN11" s="376">
        <v>22400</v>
      </c>
      <c r="BO11" s="376">
        <v>24500</v>
      </c>
      <c r="BP11" s="376">
        <v>21200</v>
      </c>
      <c r="BQ11" s="376">
        <v>18600</v>
      </c>
      <c r="BR11" s="376">
        <v>21400</v>
      </c>
      <c r="BS11" s="376">
        <v>22400</v>
      </c>
      <c r="BT11" s="376">
        <v>23100</v>
      </c>
      <c r="BU11" s="384">
        <v>14400</v>
      </c>
      <c r="BV11" s="384">
        <v>10800</v>
      </c>
      <c r="BW11" s="384">
        <v>14100</v>
      </c>
      <c r="BX11" s="384">
        <v>18300</v>
      </c>
      <c r="BY11" s="384">
        <v>20100</v>
      </c>
      <c r="BZ11" s="384">
        <v>21300</v>
      </c>
      <c r="CA11" s="384">
        <v>20000</v>
      </c>
      <c r="CB11" s="384">
        <v>20600</v>
      </c>
      <c r="CC11" s="384">
        <v>21500</v>
      </c>
      <c r="CD11" s="384">
        <v>23400</v>
      </c>
      <c r="CE11" s="384">
        <v>24700</v>
      </c>
      <c r="CF11" s="384">
        <v>27200</v>
      </c>
      <c r="CG11" s="384">
        <v>28300</v>
      </c>
      <c r="CH11" s="384">
        <v>29000</v>
      </c>
      <c r="CI11" s="384">
        <v>29700</v>
      </c>
      <c r="CJ11" s="384">
        <v>31350</v>
      </c>
      <c r="CK11" s="384">
        <v>30470</v>
      </c>
      <c r="CL11" s="385">
        <v>31250</v>
      </c>
      <c r="CM11" s="319">
        <f t="shared" si="0"/>
        <v>25495.053968253982</v>
      </c>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row>
    <row r="12" spans="1:178">
      <c r="A12" s="1054"/>
      <c r="B12" s="224" t="s">
        <v>305</v>
      </c>
      <c r="C12" s="367" t="s">
        <v>142</v>
      </c>
      <c r="D12" s="367"/>
      <c r="E12" s="336" t="s">
        <v>348</v>
      </c>
      <c r="F12" s="386" t="s">
        <v>134</v>
      </c>
      <c r="G12" s="387">
        <v>32175.4666666667</v>
      </c>
      <c r="H12" s="387">
        <v>32270.216161616201</v>
      </c>
      <c r="I12" s="387">
        <v>32364.965656565699</v>
      </c>
      <c r="J12" s="387">
        <v>32459.7151515152</v>
      </c>
      <c r="K12" s="387">
        <v>32554.464646464701</v>
      </c>
      <c r="L12" s="387">
        <v>32649.214141414199</v>
      </c>
      <c r="M12" s="387">
        <v>32743.9636363637</v>
      </c>
      <c r="N12" s="387">
        <v>32838.713131313198</v>
      </c>
      <c r="O12" s="387">
        <v>32933.462626262699</v>
      </c>
      <c r="P12" s="381">
        <v>33028.212121212098</v>
      </c>
      <c r="Q12" s="387">
        <v>33122.9616161616</v>
      </c>
      <c r="R12" s="387">
        <v>33217.711111111101</v>
      </c>
      <c r="S12" s="387">
        <v>33015.666666666701</v>
      </c>
      <c r="T12" s="388">
        <v>33126.166666666701</v>
      </c>
      <c r="U12" s="389">
        <v>33236.666666666701</v>
      </c>
      <c r="V12" s="387">
        <v>35084</v>
      </c>
      <c r="W12" s="388">
        <v>33347.166666666701</v>
      </c>
      <c r="X12" s="387">
        <v>33457.666666666701</v>
      </c>
      <c r="Y12" s="387">
        <v>33568.166666666701</v>
      </c>
      <c r="Z12" s="376">
        <v>35085</v>
      </c>
      <c r="AA12" s="387">
        <v>33678.666666666701</v>
      </c>
      <c r="AB12" s="387">
        <v>33789.166666666701</v>
      </c>
      <c r="AC12" s="389">
        <v>33899.666666666701</v>
      </c>
      <c r="AD12" s="387">
        <v>35086</v>
      </c>
      <c r="AE12" s="376">
        <v>34010.166666666701</v>
      </c>
      <c r="AF12" s="387">
        <v>34120.666666666701</v>
      </c>
      <c r="AG12" s="389">
        <v>34231.166666666701</v>
      </c>
      <c r="AH12" s="387">
        <v>35087</v>
      </c>
      <c r="AI12" s="388">
        <v>34341.666666666701</v>
      </c>
      <c r="AJ12" s="387">
        <v>34452.166666666701</v>
      </c>
      <c r="AK12" s="387">
        <v>34562.666666666701</v>
      </c>
      <c r="AL12" s="390">
        <v>35088</v>
      </c>
      <c r="AM12" s="387">
        <v>34673.166666666701</v>
      </c>
      <c r="AN12" s="387">
        <v>34783.666666666701</v>
      </c>
      <c r="AO12" s="387">
        <v>34894.166666666701</v>
      </c>
      <c r="AP12" s="390">
        <v>35089</v>
      </c>
      <c r="AQ12" s="387">
        <v>35004.666666666701</v>
      </c>
      <c r="AR12" s="387">
        <v>35115.166666666701</v>
      </c>
      <c r="AS12" s="387">
        <v>35225.666666666701</v>
      </c>
      <c r="AT12" s="390">
        <v>35090</v>
      </c>
      <c r="AU12" s="387">
        <v>35648</v>
      </c>
      <c r="AV12" s="387">
        <v>34823</v>
      </c>
      <c r="AW12" s="387">
        <v>35869</v>
      </c>
      <c r="AX12" s="387">
        <v>38900</v>
      </c>
      <c r="AY12" s="387">
        <v>48637</v>
      </c>
      <c r="AZ12" s="387">
        <v>46484</v>
      </c>
      <c r="BA12" s="387">
        <v>48182</v>
      </c>
      <c r="BB12" s="387">
        <v>48880</v>
      </c>
      <c r="BC12" s="387">
        <v>53437</v>
      </c>
      <c r="BD12" s="387">
        <v>53976</v>
      </c>
      <c r="BE12" s="387">
        <v>40000</v>
      </c>
      <c r="BF12" s="387">
        <v>35076</v>
      </c>
      <c r="BG12" s="387">
        <v>35172</v>
      </c>
      <c r="BH12" s="387">
        <v>38937</v>
      </c>
      <c r="BI12" s="387">
        <v>40545</v>
      </c>
      <c r="BJ12" s="387">
        <v>43117</v>
      </c>
      <c r="BK12" s="387">
        <v>41200</v>
      </c>
      <c r="BL12" s="387">
        <v>35000</v>
      </c>
      <c r="BM12" s="387">
        <v>37500</v>
      </c>
      <c r="BN12" s="387">
        <v>35100</v>
      </c>
      <c r="BO12" s="387">
        <v>37300</v>
      </c>
      <c r="BP12" s="387">
        <v>37300</v>
      </c>
      <c r="BQ12" s="387">
        <v>39700</v>
      </c>
      <c r="BR12" s="387">
        <v>41700</v>
      </c>
      <c r="BS12" s="387">
        <v>40900</v>
      </c>
      <c r="BT12" s="387">
        <v>38000</v>
      </c>
      <c r="BU12" s="391">
        <v>25000</v>
      </c>
      <c r="BV12" s="391">
        <v>19100</v>
      </c>
      <c r="BW12" s="391">
        <v>25000</v>
      </c>
      <c r="BX12" s="391">
        <v>31800</v>
      </c>
      <c r="BY12" s="391">
        <v>33800</v>
      </c>
      <c r="BZ12" s="391">
        <v>35100</v>
      </c>
      <c r="CA12" s="391">
        <v>36000</v>
      </c>
      <c r="CB12" s="391">
        <v>35700</v>
      </c>
      <c r="CC12" s="391">
        <v>35700</v>
      </c>
      <c r="CD12" s="391">
        <v>39300</v>
      </c>
      <c r="CE12" s="391">
        <v>42500</v>
      </c>
      <c r="CF12" s="391">
        <v>46600</v>
      </c>
      <c r="CG12" s="391">
        <v>48300</v>
      </c>
      <c r="CH12" s="391">
        <v>44700</v>
      </c>
      <c r="CI12" s="391">
        <v>47100</v>
      </c>
      <c r="CJ12" s="391">
        <v>50610</v>
      </c>
      <c r="CK12" s="391">
        <v>50620</v>
      </c>
      <c r="CL12" s="392">
        <v>44350</v>
      </c>
      <c r="CM12" s="369">
        <f t="shared" si="0"/>
        <v>36990.060317460338</v>
      </c>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row>
    <row r="13" spans="1:178" ht="12.75" customHeight="1">
      <c r="A13" s="1055" t="s">
        <v>508</v>
      </c>
      <c r="B13" s="159" t="s">
        <v>309</v>
      </c>
      <c r="C13" s="393" t="s">
        <v>310</v>
      </c>
      <c r="D13" s="393"/>
      <c r="E13" s="1057" t="s">
        <v>311</v>
      </c>
      <c r="F13" s="394" t="s">
        <v>148</v>
      </c>
      <c r="G13" s="395">
        <f>Feed!$B$4*1000/12</f>
        <v>44583.333333333336</v>
      </c>
      <c r="H13" s="395">
        <f>Feed!$B$4*1000/12</f>
        <v>44583.333333333336</v>
      </c>
      <c r="I13" s="395">
        <f>Feed!$B$4*1000/12</f>
        <v>44583.333333333336</v>
      </c>
      <c r="J13" s="395">
        <f>Feed!$B$4*1000/12</f>
        <v>44583.333333333336</v>
      </c>
      <c r="K13" s="395">
        <f>Feed!$B$4*1000/12</f>
        <v>44583.333333333336</v>
      </c>
      <c r="L13" s="395">
        <f>Feed!$B$4*1000/12</f>
        <v>44583.333333333336</v>
      </c>
      <c r="M13" s="395">
        <f>Feed!$B$4*1000/12</f>
        <v>44583.333333333336</v>
      </c>
      <c r="N13" s="395">
        <f>Feed!$B$4*1000/12</f>
        <v>44583.333333333336</v>
      </c>
      <c r="O13" s="395">
        <f>Feed!$B$4*1000/12</f>
        <v>44583.333333333336</v>
      </c>
      <c r="P13" s="395">
        <f>Feed!$B$4*1000/12</f>
        <v>44583.333333333336</v>
      </c>
      <c r="Q13" s="395">
        <f>Feed!$B$4*1000/12</f>
        <v>44583.333333333336</v>
      </c>
      <c r="R13" s="395">
        <f>Feed!$B$4*1000/12</f>
        <v>44583.333333333336</v>
      </c>
      <c r="S13" s="395">
        <f>Feed!$B$4*1000/12</f>
        <v>44583.333333333336</v>
      </c>
      <c r="T13" s="395">
        <f>Feed!$B$4*1000/12</f>
        <v>44583.333333333336</v>
      </c>
      <c r="U13" s="395">
        <f>Feed!$B$4*1000/12</f>
        <v>44583.333333333336</v>
      </c>
      <c r="V13" s="395">
        <f>Feed!$B$4*1000/12</f>
        <v>44583.333333333336</v>
      </c>
      <c r="W13" s="395">
        <f>Feed!$B$4*1000/12</f>
        <v>44583.333333333336</v>
      </c>
      <c r="X13" s="395">
        <f>Feed!$B$4*1000/12</f>
        <v>44583.333333333336</v>
      </c>
      <c r="Y13" s="395">
        <f>Feed!$B$4*1000/12</f>
        <v>44583.333333333336</v>
      </c>
      <c r="Z13" s="395">
        <f>Feed!$B$4*1000/12</f>
        <v>44583.333333333336</v>
      </c>
      <c r="AA13" s="395">
        <f>Feed!$B$4*1000/12</f>
        <v>44583.333333333336</v>
      </c>
      <c r="AB13" s="395">
        <f>Feed!$B$4*1000/12</f>
        <v>44583.333333333336</v>
      </c>
      <c r="AC13" s="395">
        <f>Feed!$B$4*1000/12</f>
        <v>44583.333333333336</v>
      </c>
      <c r="AD13" s="395">
        <f>Feed!$B$4*1000/12</f>
        <v>44583.333333333336</v>
      </c>
      <c r="AE13" s="395">
        <f>Feed!$B$4*1000/12</f>
        <v>44583.333333333336</v>
      </c>
      <c r="AF13" s="395">
        <f>Feed!$B$4*1000/12</f>
        <v>44583.333333333336</v>
      </c>
      <c r="AG13" s="395">
        <f>Feed!$B$4*1000/12</f>
        <v>44583.333333333336</v>
      </c>
      <c r="AH13" s="395">
        <f>Feed!$B$4*1000/12</f>
        <v>44583.333333333336</v>
      </c>
      <c r="AI13" s="395">
        <f>Feed!$B$4*1000/12</f>
        <v>44583.333333333336</v>
      </c>
      <c r="AJ13" s="395">
        <f>Feed!$B$4*1000/12</f>
        <v>44583.333333333336</v>
      </c>
      <c r="AK13" s="395">
        <f>Feed!$B$4*1000/12</f>
        <v>44583.333333333336</v>
      </c>
      <c r="AL13" s="395">
        <f>Feed!$B$4*1000/12</f>
        <v>44583.333333333336</v>
      </c>
      <c r="AM13" s="395">
        <f>Feed!$B$4*1000/12</f>
        <v>44583.333333333336</v>
      </c>
      <c r="AN13" s="395">
        <f>Feed!$B$4*1000/12</f>
        <v>44583.333333333336</v>
      </c>
      <c r="AO13" s="395">
        <f>Feed!$B$4*1000/12</f>
        <v>44583.333333333336</v>
      </c>
      <c r="AP13" s="395">
        <f>Feed!$B$4*1000/12</f>
        <v>44583.333333333336</v>
      </c>
      <c r="AQ13" s="395">
        <f>Feed!$B$4*1000/12</f>
        <v>44583.333333333336</v>
      </c>
      <c r="AR13" s="395">
        <f>Feed!$B$4*1000/12</f>
        <v>44583.333333333336</v>
      </c>
      <c r="AS13" s="395">
        <f>Feed!$B$4*1000/12</f>
        <v>44583.333333333336</v>
      </c>
      <c r="AT13" s="395">
        <f>Feed!$B$4*1000/12</f>
        <v>44583.333333333336</v>
      </c>
      <c r="AU13" s="395">
        <f>Feed!$B$4*1000/12</f>
        <v>44583.333333333336</v>
      </c>
      <c r="AV13" s="395">
        <f>Feed!$B$4*1000/12</f>
        <v>44583.333333333336</v>
      </c>
      <c r="AW13" s="395">
        <f>Feed!$B$4*1000/12</f>
        <v>44583.333333333336</v>
      </c>
      <c r="AX13" s="395">
        <f>Feed!$B$4*1000/12</f>
        <v>44583.333333333336</v>
      </c>
      <c r="AY13" s="395">
        <f>Feed!$B$4*1000/12</f>
        <v>44583.333333333336</v>
      </c>
      <c r="AZ13" s="395">
        <f>Feed!$B$4*1000/12</f>
        <v>44583.333333333336</v>
      </c>
      <c r="BA13" s="395">
        <f>Feed!$B$4*1000/12</f>
        <v>44583.333333333336</v>
      </c>
      <c r="BB13" s="395">
        <f>Feed!$B$4*1000/12</f>
        <v>44583.333333333336</v>
      </c>
      <c r="BC13" s="395">
        <f>Feed!$B$4*1000/12</f>
        <v>44583.333333333336</v>
      </c>
      <c r="BD13" s="395">
        <f>Feed!$B$4*1000/12</f>
        <v>44583.333333333336</v>
      </c>
      <c r="BE13" s="395">
        <f>Feed!$B$4*1000/12</f>
        <v>44583.333333333336</v>
      </c>
      <c r="BF13" s="395">
        <f>Feed!$B$4*1000/12</f>
        <v>44583.333333333336</v>
      </c>
      <c r="BG13" s="395">
        <f>Feed!$B$4*1000/12</f>
        <v>44583.333333333336</v>
      </c>
      <c r="BH13" s="395">
        <f>Feed!$B$4*1000/12</f>
        <v>44583.333333333336</v>
      </c>
      <c r="BI13" s="395">
        <f>Feed!$B$4*1000/12</f>
        <v>44583.333333333336</v>
      </c>
      <c r="BJ13" s="395">
        <f>Feed!$B$4*1000/12</f>
        <v>44583.333333333336</v>
      </c>
      <c r="BK13" s="395">
        <f>Feed!$B$4*1000/12</f>
        <v>44583.333333333336</v>
      </c>
      <c r="BL13" s="395">
        <f>Feed!$B$4*1000/12</f>
        <v>44583.333333333336</v>
      </c>
      <c r="BM13" s="395">
        <f>Feed!$B$4*1000/12</f>
        <v>44583.333333333336</v>
      </c>
      <c r="BN13" s="395">
        <f>Feed!$B$4*1000/12</f>
        <v>44583.333333333336</v>
      </c>
      <c r="BO13" s="395">
        <f>Feed!$B$4*1000/12</f>
        <v>44583.333333333336</v>
      </c>
      <c r="BP13" s="395">
        <f>Feed!$B$4*1000/12</f>
        <v>44583.333333333336</v>
      </c>
      <c r="BQ13" s="395">
        <f>Feed!$B$4*1000/12</f>
        <v>44583.333333333336</v>
      </c>
      <c r="BR13" s="395">
        <f>Feed!$B$4*1000/12</f>
        <v>44583.333333333336</v>
      </c>
      <c r="BS13" s="395">
        <f>Feed!$B$4*1000/12</f>
        <v>44583.333333333336</v>
      </c>
      <c r="BT13" s="395">
        <f>Feed!$B$4*1000/12</f>
        <v>44583.333333333336</v>
      </c>
      <c r="BU13" s="395">
        <f>Feed!$B$4*1000/12</f>
        <v>44583.333333333336</v>
      </c>
      <c r="BV13" s="395">
        <f>Feed!$B$4*1000/12</f>
        <v>44583.333333333336</v>
      </c>
      <c r="BW13" s="395">
        <f>Feed!$B$4*1000/12</f>
        <v>44583.333333333336</v>
      </c>
      <c r="BX13" s="395">
        <f>Feed!$B$4*1000/12</f>
        <v>44583.333333333336</v>
      </c>
      <c r="BY13" s="395">
        <f>Feed!$B$4*1000/12</f>
        <v>44583.333333333336</v>
      </c>
      <c r="BZ13" s="395">
        <f>Feed!$B$4*1000/12</f>
        <v>44583.333333333336</v>
      </c>
      <c r="CA13" s="395">
        <f>Feed!$B$4*1000/12</f>
        <v>44583.333333333336</v>
      </c>
      <c r="CB13" s="395">
        <f>Feed!$B$4*1000/12</f>
        <v>44583.333333333336</v>
      </c>
      <c r="CC13" s="395">
        <f>Feed!$B$4*1000/12</f>
        <v>44583.333333333336</v>
      </c>
      <c r="CD13" s="395">
        <f>Feed!$B$4*1000/12</f>
        <v>44583.333333333336</v>
      </c>
      <c r="CE13" s="395">
        <f>Feed!$B$4*1000/12</f>
        <v>44583.333333333336</v>
      </c>
      <c r="CF13" s="395">
        <f>Feed!$B$4*1000/12</f>
        <v>44583.333333333336</v>
      </c>
      <c r="CG13" s="395">
        <f>Feed!$B$4*1000/12</f>
        <v>44583.333333333336</v>
      </c>
      <c r="CH13" s="395">
        <f>Feed!$B$4*1000/12</f>
        <v>44583.333333333336</v>
      </c>
      <c r="CI13" s="395">
        <f>Feed!$B$4*1000/12</f>
        <v>44583.333333333336</v>
      </c>
      <c r="CJ13" s="395">
        <f>Feed!$B$4*1000/12</f>
        <v>44583.333333333336</v>
      </c>
      <c r="CK13" s="395">
        <f>Feed!$B$4*1000/12</f>
        <v>44583.333333333336</v>
      </c>
      <c r="CL13" s="395">
        <f>Feed!$B$4*1000/12</f>
        <v>44583.333333333336</v>
      </c>
      <c r="CM13" s="395">
        <f>Feed!$B$4*1000/12</f>
        <v>44583.333333333336</v>
      </c>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row>
    <row r="14" spans="1:178">
      <c r="A14" s="1056"/>
      <c r="B14" s="398" t="s">
        <v>309</v>
      </c>
      <c r="C14" s="399" t="s">
        <v>310</v>
      </c>
      <c r="D14" s="399"/>
      <c r="E14" s="1058"/>
      <c r="F14" s="400" t="s">
        <v>0</v>
      </c>
      <c r="G14" s="395">
        <f>Feed!$B$6*1000/12</f>
        <v>22583.333333333332</v>
      </c>
      <c r="H14" s="395">
        <f>Feed!$B$6*1000/12</f>
        <v>22583.333333333332</v>
      </c>
      <c r="I14" s="395">
        <f>Feed!$B$6*1000/12</f>
        <v>22583.333333333332</v>
      </c>
      <c r="J14" s="395">
        <f>Feed!$B$6*1000/12</f>
        <v>22583.333333333332</v>
      </c>
      <c r="K14" s="395">
        <f>Feed!$B$6*1000/12</f>
        <v>22583.333333333332</v>
      </c>
      <c r="L14" s="395">
        <f>Feed!$B$6*1000/12</f>
        <v>22583.333333333332</v>
      </c>
      <c r="M14" s="395">
        <f>Feed!$B$6*1000/12</f>
        <v>22583.333333333332</v>
      </c>
      <c r="N14" s="395">
        <f>Feed!$B$6*1000/12</f>
        <v>22583.333333333332</v>
      </c>
      <c r="O14" s="395">
        <f>Feed!$B$6*1000/12</f>
        <v>22583.333333333332</v>
      </c>
      <c r="P14" s="395">
        <f>Feed!$B$6*1000/12</f>
        <v>22583.333333333332</v>
      </c>
      <c r="Q14" s="395">
        <f>Feed!$B$6*1000/12</f>
        <v>22583.333333333332</v>
      </c>
      <c r="R14" s="395">
        <f>Feed!$B$6*1000/12</f>
        <v>22583.333333333332</v>
      </c>
      <c r="S14" s="395">
        <f>Feed!$B$6*1000/12</f>
        <v>22583.333333333332</v>
      </c>
      <c r="T14" s="395">
        <f>Feed!$B$6*1000/12</f>
        <v>22583.333333333332</v>
      </c>
      <c r="U14" s="395">
        <f>Feed!$B$6*1000/12</f>
        <v>22583.333333333332</v>
      </c>
      <c r="V14" s="395">
        <f>Feed!$B$6*1000/12</f>
        <v>22583.333333333332</v>
      </c>
      <c r="W14" s="395">
        <f>Feed!$B$6*1000/12</f>
        <v>22583.333333333332</v>
      </c>
      <c r="X14" s="395">
        <f>Feed!$B$6*1000/12</f>
        <v>22583.333333333332</v>
      </c>
      <c r="Y14" s="395">
        <f>Feed!$B$6*1000/12</f>
        <v>22583.333333333332</v>
      </c>
      <c r="Z14" s="395">
        <f>Feed!$B$6*1000/12</f>
        <v>22583.333333333332</v>
      </c>
      <c r="AA14" s="395">
        <f>Feed!$B$6*1000/12</f>
        <v>22583.333333333332</v>
      </c>
      <c r="AB14" s="395">
        <f>Feed!$B$6*1000/12</f>
        <v>22583.333333333332</v>
      </c>
      <c r="AC14" s="395">
        <f>Feed!$B$6*1000/12</f>
        <v>22583.333333333332</v>
      </c>
      <c r="AD14" s="395">
        <f>Feed!$B$6*1000/12</f>
        <v>22583.333333333332</v>
      </c>
      <c r="AE14" s="395">
        <f>Feed!$B$6*1000/12</f>
        <v>22583.333333333332</v>
      </c>
      <c r="AF14" s="395">
        <f>Feed!$B$6*1000/12</f>
        <v>22583.333333333332</v>
      </c>
      <c r="AG14" s="395">
        <f>Feed!$B$6*1000/12</f>
        <v>22583.333333333332</v>
      </c>
      <c r="AH14" s="395">
        <f>Feed!$B$6*1000/12</f>
        <v>22583.333333333332</v>
      </c>
      <c r="AI14" s="395">
        <f>Feed!$B$6*1000/12</f>
        <v>22583.333333333332</v>
      </c>
      <c r="AJ14" s="395">
        <f>Feed!$B$6*1000/12</f>
        <v>22583.333333333332</v>
      </c>
      <c r="AK14" s="395">
        <f>Feed!$B$6*1000/12</f>
        <v>22583.333333333332</v>
      </c>
      <c r="AL14" s="395">
        <f>Feed!$B$6*1000/12</f>
        <v>22583.333333333332</v>
      </c>
      <c r="AM14" s="395">
        <f>Feed!$B$6*1000/12</f>
        <v>22583.333333333332</v>
      </c>
      <c r="AN14" s="395">
        <f>Feed!$B$6*1000/12</f>
        <v>22583.333333333332</v>
      </c>
      <c r="AO14" s="395">
        <f>Feed!$B$6*1000/12</f>
        <v>22583.333333333332</v>
      </c>
      <c r="AP14" s="395">
        <f>Feed!$B$6*1000/12</f>
        <v>22583.333333333332</v>
      </c>
      <c r="AQ14" s="395">
        <f>Feed!$B$6*1000/12</f>
        <v>22583.333333333332</v>
      </c>
      <c r="AR14" s="395">
        <f>Feed!$B$6*1000/12</f>
        <v>22583.333333333332</v>
      </c>
      <c r="AS14" s="395">
        <f>Feed!$B$6*1000/12</f>
        <v>22583.333333333332</v>
      </c>
      <c r="AT14" s="395">
        <f>Feed!$B$6*1000/12</f>
        <v>22583.333333333332</v>
      </c>
      <c r="AU14" s="395">
        <f>Feed!$B$6*1000/12</f>
        <v>22583.333333333332</v>
      </c>
      <c r="AV14" s="395">
        <f>Feed!$B$6*1000/12</f>
        <v>22583.333333333332</v>
      </c>
      <c r="AW14" s="395">
        <f>Feed!$B$6*1000/12</f>
        <v>22583.333333333332</v>
      </c>
      <c r="AX14" s="395">
        <f>Feed!$B$6*1000/12</f>
        <v>22583.333333333332</v>
      </c>
      <c r="AY14" s="395">
        <f>Feed!$B$6*1000/12</f>
        <v>22583.333333333332</v>
      </c>
      <c r="AZ14" s="395">
        <f>Feed!$B$6*1000/12</f>
        <v>22583.333333333332</v>
      </c>
      <c r="BA14" s="395">
        <f>Feed!$B$6*1000/12</f>
        <v>22583.333333333332</v>
      </c>
      <c r="BB14" s="395">
        <f>Feed!$B$6*1000/12</f>
        <v>22583.333333333332</v>
      </c>
      <c r="BC14" s="395">
        <f>Feed!$B$6*1000/12</f>
        <v>22583.333333333332</v>
      </c>
      <c r="BD14" s="395">
        <f>Feed!$B$6*1000/12</f>
        <v>22583.333333333332</v>
      </c>
      <c r="BE14" s="395">
        <f>Feed!$B$6*1000/12</f>
        <v>22583.333333333332</v>
      </c>
      <c r="BF14" s="395">
        <f>Feed!$B$6*1000/12</f>
        <v>22583.333333333332</v>
      </c>
      <c r="BG14" s="395">
        <f>Feed!$B$6*1000/12</f>
        <v>22583.333333333332</v>
      </c>
      <c r="BH14" s="395">
        <f>Feed!$B$6*1000/12</f>
        <v>22583.333333333332</v>
      </c>
      <c r="BI14" s="395">
        <f>Feed!$B$6*1000/12</f>
        <v>22583.333333333332</v>
      </c>
      <c r="BJ14" s="395">
        <f>Feed!$B$6*1000/12</f>
        <v>22583.333333333332</v>
      </c>
      <c r="BK14" s="395">
        <f>Feed!$B$6*1000/12</f>
        <v>22583.333333333332</v>
      </c>
      <c r="BL14" s="395">
        <f>Feed!$B$6*1000/12</f>
        <v>22583.333333333332</v>
      </c>
      <c r="BM14" s="395">
        <f>Feed!$B$6*1000/12</f>
        <v>22583.333333333332</v>
      </c>
      <c r="BN14" s="395">
        <f>Feed!$B$6*1000/12</f>
        <v>22583.333333333332</v>
      </c>
      <c r="BO14" s="395">
        <f>Feed!$B$6*1000/12</f>
        <v>22583.333333333332</v>
      </c>
      <c r="BP14" s="395">
        <f>Feed!$B$6*1000/12</f>
        <v>22583.333333333332</v>
      </c>
      <c r="BQ14" s="395">
        <f>Feed!$B$6*1000/12</f>
        <v>22583.333333333332</v>
      </c>
      <c r="BR14" s="395">
        <f>Feed!$B$6*1000/12</f>
        <v>22583.333333333332</v>
      </c>
      <c r="BS14" s="395">
        <f>Feed!$B$6*1000/12</f>
        <v>22583.333333333332</v>
      </c>
      <c r="BT14" s="395">
        <f>Feed!$B$6*1000/12</f>
        <v>22583.333333333332</v>
      </c>
      <c r="BU14" s="395">
        <f>Feed!$B$6*1000/12</f>
        <v>22583.333333333332</v>
      </c>
      <c r="BV14" s="395">
        <f>Feed!$B$6*1000/12</f>
        <v>22583.333333333332</v>
      </c>
      <c r="BW14" s="395">
        <f>Feed!$B$6*1000/12</f>
        <v>22583.333333333332</v>
      </c>
      <c r="BX14" s="395">
        <f>Feed!$B$6*1000/12</f>
        <v>22583.333333333332</v>
      </c>
      <c r="BY14" s="395">
        <f>Feed!$B$6*1000/12</f>
        <v>22583.333333333332</v>
      </c>
      <c r="BZ14" s="395">
        <f>Feed!$B$6*1000/12</f>
        <v>22583.333333333332</v>
      </c>
      <c r="CA14" s="395">
        <f>Feed!$B$6*1000/12</f>
        <v>22583.333333333332</v>
      </c>
      <c r="CB14" s="395">
        <f>Feed!$B$6*1000/12</f>
        <v>22583.333333333332</v>
      </c>
      <c r="CC14" s="395">
        <f>Feed!$B$6*1000/12</f>
        <v>22583.333333333332</v>
      </c>
      <c r="CD14" s="395">
        <f>Feed!$B$6*1000/12</f>
        <v>22583.333333333332</v>
      </c>
      <c r="CE14" s="395">
        <f>Feed!$B$6*1000/12</f>
        <v>22583.333333333332</v>
      </c>
      <c r="CF14" s="395">
        <f>Feed!$B$6*1000/12</f>
        <v>22583.333333333332</v>
      </c>
      <c r="CG14" s="395">
        <f>Feed!$B$6*1000/12</f>
        <v>22583.333333333332</v>
      </c>
      <c r="CH14" s="395">
        <f>Feed!$B$6*1000/12</f>
        <v>22583.333333333332</v>
      </c>
      <c r="CI14" s="395">
        <f>Feed!$B$6*1000/12</f>
        <v>22583.333333333332</v>
      </c>
      <c r="CJ14" s="395">
        <f>Feed!$B$6*1000/12</f>
        <v>22583.333333333332</v>
      </c>
      <c r="CK14" s="395">
        <f>Feed!$B$6*1000/12</f>
        <v>22583.333333333332</v>
      </c>
      <c r="CL14" s="395">
        <f>Feed!$B$6*1000/12</f>
        <v>22583.333333333332</v>
      </c>
      <c r="CM14" s="395">
        <f>Feed!$B$6*1000/12</f>
        <v>22583.333333333332</v>
      </c>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row>
    <row r="15" spans="1:178">
      <c r="A15" s="1056"/>
      <c r="B15" s="398" t="s">
        <v>309</v>
      </c>
      <c r="C15" s="399" t="s">
        <v>310</v>
      </c>
      <c r="D15" s="399"/>
      <c r="E15" s="1058"/>
      <c r="F15" s="400" t="s">
        <v>304</v>
      </c>
      <c r="G15" s="395">
        <f>Feed!$B$7*1000/12</f>
        <v>13916.666666666666</v>
      </c>
      <c r="H15" s="395">
        <f>Feed!$B$7*1000/12</f>
        <v>13916.666666666666</v>
      </c>
      <c r="I15" s="395">
        <f>Feed!$B$7*1000/12</f>
        <v>13916.666666666666</v>
      </c>
      <c r="J15" s="395">
        <f>Feed!$B$7*1000/12</f>
        <v>13916.666666666666</v>
      </c>
      <c r="K15" s="395">
        <f>Feed!$B$7*1000/12</f>
        <v>13916.666666666666</v>
      </c>
      <c r="L15" s="395">
        <f>Feed!$B$7*1000/12</f>
        <v>13916.666666666666</v>
      </c>
      <c r="M15" s="395">
        <f>Feed!$B$7*1000/12</f>
        <v>13916.666666666666</v>
      </c>
      <c r="N15" s="395">
        <f>Feed!$B$7*1000/12</f>
        <v>13916.666666666666</v>
      </c>
      <c r="O15" s="395">
        <f>Feed!$B$7*1000/12</f>
        <v>13916.666666666666</v>
      </c>
      <c r="P15" s="395">
        <f>Feed!$B$7*1000/12</f>
        <v>13916.666666666666</v>
      </c>
      <c r="Q15" s="395">
        <f>Feed!$B$7*1000/12</f>
        <v>13916.666666666666</v>
      </c>
      <c r="R15" s="395">
        <f>Feed!$B$7*1000/12</f>
        <v>13916.666666666666</v>
      </c>
      <c r="S15" s="395">
        <f>Feed!$B$7*1000/12</f>
        <v>13916.666666666666</v>
      </c>
      <c r="T15" s="395">
        <f>Feed!$B$7*1000/12</f>
        <v>13916.666666666666</v>
      </c>
      <c r="U15" s="395">
        <f>Feed!$B$7*1000/12</f>
        <v>13916.666666666666</v>
      </c>
      <c r="V15" s="395">
        <f>Feed!$B$7*1000/12</f>
        <v>13916.666666666666</v>
      </c>
      <c r="W15" s="395">
        <f>Feed!$B$7*1000/12</f>
        <v>13916.666666666666</v>
      </c>
      <c r="X15" s="395">
        <f>Feed!$B$7*1000/12</f>
        <v>13916.666666666666</v>
      </c>
      <c r="Y15" s="395">
        <f>Feed!$B$7*1000/12</f>
        <v>13916.666666666666</v>
      </c>
      <c r="Z15" s="395">
        <f>Feed!$B$7*1000/12</f>
        <v>13916.666666666666</v>
      </c>
      <c r="AA15" s="395">
        <f>Feed!$B$7*1000/12</f>
        <v>13916.666666666666</v>
      </c>
      <c r="AB15" s="395">
        <f>Feed!$B$7*1000/12</f>
        <v>13916.666666666666</v>
      </c>
      <c r="AC15" s="395">
        <f>Feed!$B$7*1000/12</f>
        <v>13916.666666666666</v>
      </c>
      <c r="AD15" s="395">
        <f>Feed!$B$7*1000/12</f>
        <v>13916.666666666666</v>
      </c>
      <c r="AE15" s="395">
        <f>Feed!$B$7*1000/12</f>
        <v>13916.666666666666</v>
      </c>
      <c r="AF15" s="395">
        <f>Feed!$B$7*1000/12</f>
        <v>13916.666666666666</v>
      </c>
      <c r="AG15" s="395">
        <f>Feed!$B$7*1000/12</f>
        <v>13916.666666666666</v>
      </c>
      <c r="AH15" s="395">
        <f>Feed!$B$7*1000/12</f>
        <v>13916.666666666666</v>
      </c>
      <c r="AI15" s="395">
        <f>Feed!$B$7*1000/12</f>
        <v>13916.666666666666</v>
      </c>
      <c r="AJ15" s="395">
        <f>Feed!$B$7*1000/12</f>
        <v>13916.666666666666</v>
      </c>
      <c r="AK15" s="395">
        <f>Feed!$B$7*1000/12</f>
        <v>13916.666666666666</v>
      </c>
      <c r="AL15" s="395">
        <f>Feed!$B$7*1000/12</f>
        <v>13916.666666666666</v>
      </c>
      <c r="AM15" s="395">
        <f>Feed!$B$7*1000/12</f>
        <v>13916.666666666666</v>
      </c>
      <c r="AN15" s="395">
        <f>Feed!$B$7*1000/12</f>
        <v>13916.666666666666</v>
      </c>
      <c r="AO15" s="395">
        <f>Feed!$B$7*1000/12</f>
        <v>13916.666666666666</v>
      </c>
      <c r="AP15" s="395">
        <f>Feed!$B$7*1000/12</f>
        <v>13916.666666666666</v>
      </c>
      <c r="AQ15" s="395">
        <f>Feed!$B$7*1000/12</f>
        <v>13916.666666666666</v>
      </c>
      <c r="AR15" s="395">
        <f>Feed!$B$7*1000/12</f>
        <v>13916.666666666666</v>
      </c>
      <c r="AS15" s="395">
        <f>Feed!$B$7*1000/12</f>
        <v>13916.666666666666</v>
      </c>
      <c r="AT15" s="395">
        <f>Feed!$B$7*1000/12</f>
        <v>13916.666666666666</v>
      </c>
      <c r="AU15" s="395">
        <f>Feed!$B$7*1000/12</f>
        <v>13916.666666666666</v>
      </c>
      <c r="AV15" s="395">
        <f>Feed!$B$7*1000/12</f>
        <v>13916.666666666666</v>
      </c>
      <c r="AW15" s="395">
        <f>Feed!$B$7*1000/12</f>
        <v>13916.666666666666</v>
      </c>
      <c r="AX15" s="395">
        <f>Feed!$B$7*1000/12</f>
        <v>13916.666666666666</v>
      </c>
      <c r="AY15" s="395">
        <f>Feed!$B$7*1000/12</f>
        <v>13916.666666666666</v>
      </c>
      <c r="AZ15" s="395">
        <f>Feed!$B$7*1000/12</f>
        <v>13916.666666666666</v>
      </c>
      <c r="BA15" s="395">
        <f>Feed!$B$7*1000/12</f>
        <v>13916.666666666666</v>
      </c>
      <c r="BB15" s="395">
        <f>Feed!$B$7*1000/12</f>
        <v>13916.666666666666</v>
      </c>
      <c r="BC15" s="395">
        <f>Feed!$B$7*1000/12</f>
        <v>13916.666666666666</v>
      </c>
      <c r="BD15" s="395">
        <f>Feed!$B$7*1000/12</f>
        <v>13916.666666666666</v>
      </c>
      <c r="BE15" s="395">
        <f>Feed!$B$7*1000/12</f>
        <v>13916.666666666666</v>
      </c>
      <c r="BF15" s="395">
        <f>Feed!$B$7*1000/12</f>
        <v>13916.666666666666</v>
      </c>
      <c r="BG15" s="395">
        <f>Feed!$B$7*1000/12</f>
        <v>13916.666666666666</v>
      </c>
      <c r="BH15" s="395">
        <f>Feed!$B$7*1000/12</f>
        <v>13916.666666666666</v>
      </c>
      <c r="BI15" s="395">
        <f>Feed!$B$7*1000/12</f>
        <v>13916.666666666666</v>
      </c>
      <c r="BJ15" s="395">
        <f>Feed!$B$7*1000/12</f>
        <v>13916.666666666666</v>
      </c>
      <c r="BK15" s="395">
        <f>Feed!$B$7*1000/12</f>
        <v>13916.666666666666</v>
      </c>
      <c r="BL15" s="395">
        <f>Feed!$B$7*1000/12</f>
        <v>13916.666666666666</v>
      </c>
      <c r="BM15" s="395">
        <f>Feed!$B$7*1000/12</f>
        <v>13916.666666666666</v>
      </c>
      <c r="BN15" s="395">
        <f>Feed!$B$7*1000/12</f>
        <v>13916.666666666666</v>
      </c>
      <c r="BO15" s="395">
        <f>Feed!$B$7*1000/12</f>
        <v>13916.666666666666</v>
      </c>
      <c r="BP15" s="395">
        <f>Feed!$B$7*1000/12</f>
        <v>13916.666666666666</v>
      </c>
      <c r="BQ15" s="395">
        <f>Feed!$B$7*1000/12</f>
        <v>13916.666666666666</v>
      </c>
      <c r="BR15" s="395">
        <f>Feed!$B$7*1000/12</f>
        <v>13916.666666666666</v>
      </c>
      <c r="BS15" s="395">
        <f>Feed!$B$7*1000/12</f>
        <v>13916.666666666666</v>
      </c>
      <c r="BT15" s="395">
        <f>Feed!$B$7*1000/12</f>
        <v>13916.666666666666</v>
      </c>
      <c r="BU15" s="395">
        <f>Feed!$B$7*1000/12</f>
        <v>13916.666666666666</v>
      </c>
      <c r="BV15" s="395">
        <f>Feed!$B$7*1000/12</f>
        <v>13916.666666666666</v>
      </c>
      <c r="BW15" s="395">
        <f>Feed!$B$7*1000/12</f>
        <v>13916.666666666666</v>
      </c>
      <c r="BX15" s="395">
        <f>Feed!$B$7*1000/12</f>
        <v>13916.666666666666</v>
      </c>
      <c r="BY15" s="395">
        <f>Feed!$B$7*1000/12</f>
        <v>13916.666666666666</v>
      </c>
      <c r="BZ15" s="395">
        <f>Feed!$B$7*1000/12</f>
        <v>13916.666666666666</v>
      </c>
      <c r="CA15" s="395">
        <f>Feed!$B$7*1000/12</f>
        <v>13916.666666666666</v>
      </c>
      <c r="CB15" s="395">
        <f>Feed!$B$7*1000/12</f>
        <v>13916.666666666666</v>
      </c>
      <c r="CC15" s="395">
        <f>Feed!$B$7*1000/12</f>
        <v>13916.666666666666</v>
      </c>
      <c r="CD15" s="395">
        <f>Feed!$B$7*1000/12</f>
        <v>13916.666666666666</v>
      </c>
      <c r="CE15" s="395">
        <f>Feed!$B$7*1000/12</f>
        <v>13916.666666666666</v>
      </c>
      <c r="CF15" s="395">
        <f>Feed!$B$7*1000/12</f>
        <v>13916.666666666666</v>
      </c>
      <c r="CG15" s="395">
        <f>Feed!$B$7*1000/12</f>
        <v>13916.666666666666</v>
      </c>
      <c r="CH15" s="395">
        <f>Feed!$B$7*1000/12</f>
        <v>13916.666666666666</v>
      </c>
      <c r="CI15" s="395">
        <f>Feed!$B$7*1000/12</f>
        <v>13916.666666666666</v>
      </c>
      <c r="CJ15" s="395">
        <f>Feed!$B$7*1000/12</f>
        <v>13916.666666666666</v>
      </c>
      <c r="CK15" s="395">
        <f>Feed!$B$7*1000/12</f>
        <v>13916.666666666666</v>
      </c>
      <c r="CL15" s="395">
        <f>Feed!$B$7*1000/12</f>
        <v>13916.666666666666</v>
      </c>
      <c r="CM15" s="395">
        <f>Feed!$B$7*1000/12</f>
        <v>13916.666666666666</v>
      </c>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row>
    <row r="16" spans="1:178">
      <c r="A16" s="1056"/>
      <c r="B16" s="398" t="s">
        <v>309</v>
      </c>
      <c r="C16" s="399" t="s">
        <v>310</v>
      </c>
      <c r="D16" s="399"/>
      <c r="E16" s="1058"/>
      <c r="F16" s="400" t="s">
        <v>1</v>
      </c>
      <c r="G16" s="395">
        <f>Feed!$B$5*1000/12</f>
        <v>125000</v>
      </c>
      <c r="H16" s="395">
        <f>Feed!$B$5*1000/12</f>
        <v>125000</v>
      </c>
      <c r="I16" s="395">
        <f>Feed!$B$5*1000/12</f>
        <v>125000</v>
      </c>
      <c r="J16" s="395">
        <f>Feed!$B$5*1000/12</f>
        <v>125000</v>
      </c>
      <c r="K16" s="395">
        <f>Feed!$B$5*1000/12</f>
        <v>125000</v>
      </c>
      <c r="L16" s="395">
        <f>Feed!$B$5*1000/12</f>
        <v>125000</v>
      </c>
      <c r="M16" s="395">
        <f>Feed!$B$5*1000/12</f>
        <v>125000</v>
      </c>
      <c r="N16" s="395">
        <f>Feed!$B$5*1000/12</f>
        <v>125000</v>
      </c>
      <c r="O16" s="395">
        <f>Feed!$B$5*1000/12</f>
        <v>125000</v>
      </c>
      <c r="P16" s="395">
        <f>Feed!$B$5*1000/12</f>
        <v>125000</v>
      </c>
      <c r="Q16" s="395">
        <f>Feed!$B$5*1000/12</f>
        <v>125000</v>
      </c>
      <c r="R16" s="395">
        <f>Feed!$B$5*1000/12</f>
        <v>125000</v>
      </c>
      <c r="S16" s="395">
        <f>Feed!$B$5*1000/12</f>
        <v>125000</v>
      </c>
      <c r="T16" s="395">
        <f>Feed!$B$5*1000/12</f>
        <v>125000</v>
      </c>
      <c r="U16" s="395">
        <f>Feed!$B$5*1000/12</f>
        <v>125000</v>
      </c>
      <c r="V16" s="395">
        <f>Feed!$B$5*1000/12</f>
        <v>125000</v>
      </c>
      <c r="W16" s="395">
        <f>Feed!$B$5*1000/12</f>
        <v>125000</v>
      </c>
      <c r="X16" s="395">
        <f>Feed!$B$5*1000/12</f>
        <v>125000</v>
      </c>
      <c r="Y16" s="395">
        <f>Feed!$B$5*1000/12</f>
        <v>125000</v>
      </c>
      <c r="Z16" s="395">
        <f>Feed!$B$5*1000/12</f>
        <v>125000</v>
      </c>
      <c r="AA16" s="395">
        <f>Feed!$B$5*1000/12</f>
        <v>125000</v>
      </c>
      <c r="AB16" s="395">
        <f>Feed!$B$5*1000/12</f>
        <v>125000</v>
      </c>
      <c r="AC16" s="395">
        <f>Feed!$B$5*1000/12</f>
        <v>125000</v>
      </c>
      <c r="AD16" s="395">
        <f>Feed!$B$5*1000/12</f>
        <v>125000</v>
      </c>
      <c r="AE16" s="395">
        <f>Feed!$B$5*1000/12</f>
        <v>125000</v>
      </c>
      <c r="AF16" s="395">
        <f>Feed!$B$5*1000/12</f>
        <v>125000</v>
      </c>
      <c r="AG16" s="395">
        <f>Feed!$B$5*1000/12</f>
        <v>125000</v>
      </c>
      <c r="AH16" s="395">
        <f>Feed!$B$5*1000/12</f>
        <v>125000</v>
      </c>
      <c r="AI16" s="395">
        <f>Feed!$B$5*1000/12</f>
        <v>125000</v>
      </c>
      <c r="AJ16" s="395">
        <f>Feed!$B$5*1000/12</f>
        <v>125000</v>
      </c>
      <c r="AK16" s="395">
        <f>Feed!$B$5*1000/12</f>
        <v>125000</v>
      </c>
      <c r="AL16" s="395">
        <f>Feed!$B$5*1000/12</f>
        <v>125000</v>
      </c>
      <c r="AM16" s="395">
        <f>Feed!$B$5*1000/12</f>
        <v>125000</v>
      </c>
      <c r="AN16" s="395">
        <f>Feed!$B$5*1000/12</f>
        <v>125000</v>
      </c>
      <c r="AO16" s="395">
        <f>Feed!$B$5*1000/12</f>
        <v>125000</v>
      </c>
      <c r="AP16" s="395">
        <f>Feed!$B$5*1000/12</f>
        <v>125000</v>
      </c>
      <c r="AQ16" s="395">
        <f>Feed!$B$5*1000/12</f>
        <v>125000</v>
      </c>
      <c r="AR16" s="395">
        <f>Feed!$B$5*1000/12</f>
        <v>125000</v>
      </c>
      <c r="AS16" s="395">
        <f>Feed!$B$5*1000/12</f>
        <v>125000</v>
      </c>
      <c r="AT16" s="395">
        <f>Feed!$B$5*1000/12</f>
        <v>125000</v>
      </c>
      <c r="AU16" s="395">
        <f>Feed!$B$5*1000/12</f>
        <v>125000</v>
      </c>
      <c r="AV16" s="395">
        <f>Feed!$B$5*1000/12</f>
        <v>125000</v>
      </c>
      <c r="AW16" s="395">
        <f>Feed!$B$5*1000/12</f>
        <v>125000</v>
      </c>
      <c r="AX16" s="395">
        <f>Feed!$B$5*1000/12</f>
        <v>125000</v>
      </c>
      <c r="AY16" s="395">
        <f>Feed!$B$5*1000/12</f>
        <v>125000</v>
      </c>
      <c r="AZ16" s="395">
        <f>Feed!$B$5*1000/12</f>
        <v>125000</v>
      </c>
      <c r="BA16" s="395">
        <f>Feed!$B$5*1000/12</f>
        <v>125000</v>
      </c>
      <c r="BB16" s="395">
        <f>Feed!$B$5*1000/12</f>
        <v>125000</v>
      </c>
      <c r="BC16" s="395">
        <f>Feed!$B$5*1000/12</f>
        <v>125000</v>
      </c>
      <c r="BD16" s="395">
        <f>Feed!$B$5*1000/12</f>
        <v>125000</v>
      </c>
      <c r="BE16" s="395">
        <f>Feed!$B$5*1000/12</f>
        <v>125000</v>
      </c>
      <c r="BF16" s="395">
        <f>Feed!$B$5*1000/12</f>
        <v>125000</v>
      </c>
      <c r="BG16" s="395">
        <f>Feed!$B$5*1000/12</f>
        <v>125000</v>
      </c>
      <c r="BH16" s="395">
        <f>Feed!$B$5*1000/12</f>
        <v>125000</v>
      </c>
      <c r="BI16" s="395">
        <f>Feed!$B$5*1000/12</f>
        <v>125000</v>
      </c>
      <c r="BJ16" s="395">
        <f>Feed!$B$5*1000/12</f>
        <v>125000</v>
      </c>
      <c r="BK16" s="395">
        <f>Feed!$B$5*1000/12</f>
        <v>125000</v>
      </c>
      <c r="BL16" s="395">
        <f>Feed!$B$5*1000/12</f>
        <v>125000</v>
      </c>
      <c r="BM16" s="395">
        <f>Feed!$B$5*1000/12</f>
        <v>125000</v>
      </c>
      <c r="BN16" s="395">
        <f>Feed!$B$5*1000/12</f>
        <v>125000</v>
      </c>
      <c r="BO16" s="395">
        <f>Feed!$B$5*1000/12</f>
        <v>125000</v>
      </c>
      <c r="BP16" s="395">
        <f>Feed!$B$5*1000/12</f>
        <v>125000</v>
      </c>
      <c r="BQ16" s="395">
        <f>Feed!$B$5*1000/12</f>
        <v>125000</v>
      </c>
      <c r="BR16" s="395">
        <f>Feed!$B$5*1000/12</f>
        <v>125000</v>
      </c>
      <c r="BS16" s="395">
        <f>Feed!$B$5*1000/12</f>
        <v>125000</v>
      </c>
      <c r="BT16" s="395">
        <f>Feed!$B$5*1000/12</f>
        <v>125000</v>
      </c>
      <c r="BU16" s="395">
        <f>Feed!$B$5*1000/12</f>
        <v>125000</v>
      </c>
      <c r="BV16" s="395">
        <f>Feed!$B$5*1000/12</f>
        <v>125000</v>
      </c>
      <c r="BW16" s="395">
        <f>Feed!$B$5*1000/12</f>
        <v>125000</v>
      </c>
      <c r="BX16" s="395">
        <f>Feed!$B$5*1000/12</f>
        <v>125000</v>
      </c>
      <c r="BY16" s="395">
        <f>Feed!$B$5*1000/12</f>
        <v>125000</v>
      </c>
      <c r="BZ16" s="395">
        <f>Feed!$B$5*1000/12</f>
        <v>125000</v>
      </c>
      <c r="CA16" s="395">
        <f>Feed!$B$5*1000/12</f>
        <v>125000</v>
      </c>
      <c r="CB16" s="395">
        <f>Feed!$B$5*1000/12</f>
        <v>125000</v>
      </c>
      <c r="CC16" s="395">
        <f>Feed!$B$5*1000/12</f>
        <v>125000</v>
      </c>
      <c r="CD16" s="395">
        <f>Feed!$B$5*1000/12</f>
        <v>125000</v>
      </c>
      <c r="CE16" s="395">
        <f>Feed!$B$5*1000/12</f>
        <v>125000</v>
      </c>
      <c r="CF16" s="395">
        <f>Feed!$B$5*1000/12</f>
        <v>125000</v>
      </c>
      <c r="CG16" s="395">
        <f>Feed!$B$5*1000/12</f>
        <v>125000</v>
      </c>
      <c r="CH16" s="395">
        <f>Feed!$B$5*1000/12</f>
        <v>125000</v>
      </c>
      <c r="CI16" s="395">
        <f>Feed!$B$5*1000/12</f>
        <v>125000</v>
      </c>
      <c r="CJ16" s="395">
        <f>Feed!$B$5*1000/12</f>
        <v>125000</v>
      </c>
      <c r="CK16" s="395">
        <f>Feed!$B$5*1000/12</f>
        <v>125000</v>
      </c>
      <c r="CL16" s="395">
        <f>Feed!$B$5*1000/12</f>
        <v>125000</v>
      </c>
      <c r="CM16" s="395">
        <f>Feed!$B$5*1000/12</f>
        <v>125000</v>
      </c>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row>
    <row r="17" spans="1:178">
      <c r="A17" s="1059" t="s">
        <v>312</v>
      </c>
      <c r="B17" s="286" t="s">
        <v>309</v>
      </c>
      <c r="C17" s="356" t="s">
        <v>310</v>
      </c>
      <c r="D17" s="356"/>
      <c r="E17" s="1062" t="s">
        <v>313</v>
      </c>
      <c r="F17" s="402" t="s">
        <v>145</v>
      </c>
      <c r="G17" s="403">
        <v>91539.166666666672</v>
      </c>
      <c r="H17" s="403">
        <v>91539.166666666672</v>
      </c>
      <c r="I17" s="403">
        <v>91539.166666666672</v>
      </c>
      <c r="J17" s="403">
        <v>91539.166666666672</v>
      </c>
      <c r="K17" s="403">
        <v>91539.166666666672</v>
      </c>
      <c r="L17" s="403">
        <v>91539.166666666672</v>
      </c>
      <c r="M17" s="403">
        <v>91539.166666666672</v>
      </c>
      <c r="N17" s="403">
        <v>91539.166666666672</v>
      </c>
      <c r="O17" s="403">
        <v>91539.166666666672</v>
      </c>
      <c r="P17" s="403">
        <v>91539.166666666672</v>
      </c>
      <c r="Q17" s="403">
        <v>91539.166666666672</v>
      </c>
      <c r="R17" s="403">
        <v>91539.166666666672</v>
      </c>
      <c r="S17" s="403">
        <v>91539.166666666672</v>
      </c>
      <c r="T17" s="403">
        <v>91539.166666666672</v>
      </c>
      <c r="U17" s="403">
        <v>91539.166666666672</v>
      </c>
      <c r="V17" s="403">
        <v>91539.166666666672</v>
      </c>
      <c r="W17" s="403">
        <v>91539.166666666672</v>
      </c>
      <c r="X17" s="403">
        <v>91539.166666666672</v>
      </c>
      <c r="Y17" s="403">
        <v>91539.166666666672</v>
      </c>
      <c r="Z17" s="403">
        <v>91539.166666666672</v>
      </c>
      <c r="AA17" s="403">
        <v>91539.166666666672</v>
      </c>
      <c r="AB17" s="403">
        <v>91539.166666666672</v>
      </c>
      <c r="AC17" s="403">
        <v>91539.166666666672</v>
      </c>
      <c r="AD17" s="403">
        <v>91539.166666666672</v>
      </c>
      <c r="AE17" s="403">
        <v>91539.166666666672</v>
      </c>
      <c r="AF17" s="403">
        <v>91539.166666666672</v>
      </c>
      <c r="AG17" s="403">
        <v>91539.166666666672</v>
      </c>
      <c r="AH17" s="403">
        <v>91539.166666666672</v>
      </c>
      <c r="AI17" s="403">
        <v>91539.166666666672</v>
      </c>
      <c r="AJ17" s="403">
        <v>91539.166666666672</v>
      </c>
      <c r="AK17" s="403">
        <v>91539.166666666672</v>
      </c>
      <c r="AL17" s="403">
        <v>91539.166666666672</v>
      </c>
      <c r="AM17" s="403">
        <v>91539.166666666672</v>
      </c>
      <c r="AN17" s="403">
        <v>91539.166666666672</v>
      </c>
      <c r="AO17" s="403">
        <v>91539.166666666672</v>
      </c>
      <c r="AP17" s="403">
        <v>91539.166666666672</v>
      </c>
      <c r="AQ17" s="403">
        <v>91539.166666666672</v>
      </c>
      <c r="AR17" s="403">
        <v>91539.166666666672</v>
      </c>
      <c r="AS17" s="403">
        <v>91539.166666666672</v>
      </c>
      <c r="AT17" s="403">
        <v>91539.166666666672</v>
      </c>
      <c r="AU17" s="403">
        <v>91539.166666666672</v>
      </c>
      <c r="AV17" s="403">
        <v>91539.166666666672</v>
      </c>
      <c r="AW17" s="403">
        <v>91539.166666666672</v>
      </c>
      <c r="AX17" s="403">
        <v>91539.166666666672</v>
      </c>
      <c r="AY17" s="403">
        <v>91539.166666666672</v>
      </c>
      <c r="AZ17" s="403">
        <v>91539.166666666672</v>
      </c>
      <c r="BA17" s="403">
        <v>91539.166666666672</v>
      </c>
      <c r="BB17" s="403">
        <v>91539.166666666672</v>
      </c>
      <c r="BC17" s="403">
        <v>91539.166666666672</v>
      </c>
      <c r="BD17" s="403">
        <v>91539.166666666672</v>
      </c>
      <c r="BE17" s="403">
        <v>91539.166666666672</v>
      </c>
      <c r="BF17" s="403">
        <v>91539.166666666672</v>
      </c>
      <c r="BG17" s="403">
        <v>91539.166666666672</v>
      </c>
      <c r="BH17" s="403">
        <v>91539.166666666672</v>
      </c>
      <c r="BI17" s="403">
        <v>91539.166666666672</v>
      </c>
      <c r="BJ17" s="403">
        <v>91539.166666666672</v>
      </c>
      <c r="BK17" s="403">
        <v>91539.166666666672</v>
      </c>
      <c r="BL17" s="403">
        <v>91539.166666666672</v>
      </c>
      <c r="BM17" s="403">
        <v>91539.166666666672</v>
      </c>
      <c r="BN17" s="403">
        <v>91539.166666666672</v>
      </c>
      <c r="BO17" s="403">
        <v>91539.166666666672</v>
      </c>
      <c r="BP17" s="403">
        <v>91539.166666666672</v>
      </c>
      <c r="BQ17" s="403">
        <v>91539.166666666672</v>
      </c>
      <c r="BR17" s="403">
        <v>91539.166666666672</v>
      </c>
      <c r="BS17" s="403">
        <v>91539.166666666672</v>
      </c>
      <c r="BT17" s="403">
        <v>91539.166666666672</v>
      </c>
      <c r="BU17" s="403">
        <v>91539.166666666672</v>
      </c>
      <c r="BV17" s="403">
        <v>91539.166666666672</v>
      </c>
      <c r="BW17" s="403">
        <v>91539.166666666672</v>
      </c>
      <c r="BX17" s="403">
        <v>91539.166666666672</v>
      </c>
      <c r="BY17" s="403">
        <v>91539.166666666672</v>
      </c>
      <c r="BZ17" s="403">
        <v>91539.166666666672</v>
      </c>
      <c r="CA17" s="403">
        <v>91539.166666666672</v>
      </c>
      <c r="CB17" s="403">
        <v>91539.166666666672</v>
      </c>
      <c r="CC17" s="403">
        <v>91539.166666666672</v>
      </c>
      <c r="CD17" s="403">
        <v>91539.166666666672</v>
      </c>
      <c r="CE17" s="403">
        <v>91539.166666666672</v>
      </c>
      <c r="CF17" s="403">
        <v>91539.166666666672</v>
      </c>
      <c r="CG17" s="403">
        <v>91539.166666666672</v>
      </c>
      <c r="CH17" s="403">
        <v>91539.166666666672</v>
      </c>
      <c r="CI17" s="403">
        <v>91539.166666666672</v>
      </c>
      <c r="CJ17" s="403">
        <v>91539.166666666672</v>
      </c>
      <c r="CK17" s="403">
        <v>91539.166666666672</v>
      </c>
      <c r="CL17" s="403">
        <v>91539.166666666672</v>
      </c>
      <c r="CM17" s="403">
        <v>91539.166666666672</v>
      </c>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row>
    <row r="18" spans="1:178">
      <c r="A18" s="1060"/>
      <c r="B18" s="2" t="s">
        <v>309</v>
      </c>
      <c r="C18" s="362" t="s">
        <v>310</v>
      </c>
      <c r="D18" s="362"/>
      <c r="E18" s="1063"/>
      <c r="F18" s="404" t="s">
        <v>2</v>
      </c>
      <c r="G18" s="405">
        <v>33330.833333333336</v>
      </c>
      <c r="H18" s="405">
        <v>33330.833333333336</v>
      </c>
      <c r="I18" s="405">
        <v>33330.833333333336</v>
      </c>
      <c r="J18" s="405">
        <v>33330.833333333336</v>
      </c>
      <c r="K18" s="405">
        <v>33330.833333333336</v>
      </c>
      <c r="L18" s="405">
        <v>33330.833333333336</v>
      </c>
      <c r="M18" s="405">
        <v>33330.833333333336</v>
      </c>
      <c r="N18" s="405">
        <v>33330.833333333336</v>
      </c>
      <c r="O18" s="405">
        <v>33330.833333333336</v>
      </c>
      <c r="P18" s="405">
        <v>33330.833333333336</v>
      </c>
      <c r="Q18" s="405">
        <v>33330.833333333336</v>
      </c>
      <c r="R18" s="405">
        <v>33330.833333333336</v>
      </c>
      <c r="S18" s="405">
        <v>33330.833333333336</v>
      </c>
      <c r="T18" s="405">
        <v>33330.833333333336</v>
      </c>
      <c r="U18" s="405">
        <v>33330.833333333336</v>
      </c>
      <c r="V18" s="405">
        <v>33330.833333333336</v>
      </c>
      <c r="W18" s="405">
        <v>33330.833333333336</v>
      </c>
      <c r="X18" s="405">
        <v>33330.833333333336</v>
      </c>
      <c r="Y18" s="405">
        <v>33330.833333333336</v>
      </c>
      <c r="Z18" s="405">
        <v>33330.833333333336</v>
      </c>
      <c r="AA18" s="405">
        <v>33330.833333333336</v>
      </c>
      <c r="AB18" s="405">
        <v>33330.833333333336</v>
      </c>
      <c r="AC18" s="405">
        <v>33330.833333333336</v>
      </c>
      <c r="AD18" s="405">
        <v>33330.833333333336</v>
      </c>
      <c r="AE18" s="405">
        <v>33330.833333333336</v>
      </c>
      <c r="AF18" s="405">
        <v>33330.833333333336</v>
      </c>
      <c r="AG18" s="405">
        <v>33330.833333333336</v>
      </c>
      <c r="AH18" s="405">
        <v>33330.833333333336</v>
      </c>
      <c r="AI18" s="405">
        <v>33330.833333333336</v>
      </c>
      <c r="AJ18" s="405">
        <v>33330.833333333336</v>
      </c>
      <c r="AK18" s="405">
        <v>33330.833333333336</v>
      </c>
      <c r="AL18" s="405">
        <v>33330.833333333336</v>
      </c>
      <c r="AM18" s="405">
        <v>33330.833333333336</v>
      </c>
      <c r="AN18" s="405">
        <v>33330.833333333336</v>
      </c>
      <c r="AO18" s="405">
        <v>33330.833333333336</v>
      </c>
      <c r="AP18" s="405">
        <v>33330.833333333336</v>
      </c>
      <c r="AQ18" s="405">
        <v>33330.833333333336</v>
      </c>
      <c r="AR18" s="405">
        <v>33330.833333333336</v>
      </c>
      <c r="AS18" s="405">
        <v>33330.833333333336</v>
      </c>
      <c r="AT18" s="405">
        <v>33330.833333333336</v>
      </c>
      <c r="AU18" s="405">
        <v>33330.833333333336</v>
      </c>
      <c r="AV18" s="405">
        <v>33330.833333333336</v>
      </c>
      <c r="AW18" s="405">
        <v>33330.833333333336</v>
      </c>
      <c r="AX18" s="405">
        <v>33330.833333333336</v>
      </c>
      <c r="AY18" s="405">
        <v>33330.833333333336</v>
      </c>
      <c r="AZ18" s="405">
        <v>33330.833333333336</v>
      </c>
      <c r="BA18" s="405">
        <v>33330.833333333336</v>
      </c>
      <c r="BB18" s="405">
        <v>33330.833333333336</v>
      </c>
      <c r="BC18" s="405">
        <v>33330.833333333336</v>
      </c>
      <c r="BD18" s="405">
        <v>33330.833333333336</v>
      </c>
      <c r="BE18" s="405">
        <v>33330.833333333336</v>
      </c>
      <c r="BF18" s="405">
        <v>33330.833333333336</v>
      </c>
      <c r="BG18" s="405">
        <v>33330.833333333336</v>
      </c>
      <c r="BH18" s="405">
        <v>33330.833333333336</v>
      </c>
      <c r="BI18" s="405">
        <v>33330.833333333336</v>
      </c>
      <c r="BJ18" s="405">
        <v>33330.833333333336</v>
      </c>
      <c r="BK18" s="405">
        <v>33330.833333333336</v>
      </c>
      <c r="BL18" s="405">
        <v>33330.833333333336</v>
      </c>
      <c r="BM18" s="405">
        <v>33330.833333333336</v>
      </c>
      <c r="BN18" s="405">
        <v>33330.833333333336</v>
      </c>
      <c r="BO18" s="405">
        <v>33330.833333333336</v>
      </c>
      <c r="BP18" s="405">
        <v>33330.833333333336</v>
      </c>
      <c r="BQ18" s="405">
        <v>33330.833333333336</v>
      </c>
      <c r="BR18" s="405">
        <v>33330.833333333336</v>
      </c>
      <c r="BS18" s="405">
        <v>33330.833333333336</v>
      </c>
      <c r="BT18" s="405">
        <v>33330.833333333336</v>
      </c>
      <c r="BU18" s="405">
        <v>33330.833333333336</v>
      </c>
      <c r="BV18" s="405">
        <v>33330.833333333336</v>
      </c>
      <c r="BW18" s="405">
        <v>33330.833333333336</v>
      </c>
      <c r="BX18" s="405">
        <v>33330.833333333336</v>
      </c>
      <c r="BY18" s="405">
        <v>33330.833333333336</v>
      </c>
      <c r="BZ18" s="405">
        <v>33330.833333333336</v>
      </c>
      <c r="CA18" s="405">
        <v>33330.833333333336</v>
      </c>
      <c r="CB18" s="405">
        <v>33330.833333333336</v>
      </c>
      <c r="CC18" s="405">
        <v>33330.833333333336</v>
      </c>
      <c r="CD18" s="405">
        <v>33330.833333333336</v>
      </c>
      <c r="CE18" s="405">
        <v>33330.833333333336</v>
      </c>
      <c r="CF18" s="405">
        <v>33330.833333333336</v>
      </c>
      <c r="CG18" s="405">
        <v>33330.833333333336</v>
      </c>
      <c r="CH18" s="405">
        <v>33330.833333333336</v>
      </c>
      <c r="CI18" s="405">
        <v>33330.833333333336</v>
      </c>
      <c r="CJ18" s="405">
        <v>33330.833333333336</v>
      </c>
      <c r="CK18" s="405">
        <v>33330.833333333336</v>
      </c>
      <c r="CL18" s="405">
        <v>33330.833333333336</v>
      </c>
      <c r="CM18" s="405">
        <v>33330.833333333336</v>
      </c>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row>
    <row r="19" spans="1:178">
      <c r="A19" s="1060"/>
      <c r="B19" s="2" t="s">
        <v>309</v>
      </c>
      <c r="C19" s="362" t="s">
        <v>310</v>
      </c>
      <c r="D19" s="362"/>
      <c r="E19" s="1063"/>
      <c r="F19" s="404" t="str">
        <f>F8</f>
        <v xml:space="preserve">Benzene </v>
      </c>
      <c r="G19" s="405">
        <v>10920.149999999998</v>
      </c>
      <c r="H19" s="405">
        <v>10920.149999999998</v>
      </c>
      <c r="I19" s="405">
        <v>10920.149999999998</v>
      </c>
      <c r="J19" s="405">
        <v>10920.149999999998</v>
      </c>
      <c r="K19" s="405">
        <v>10920.149999999998</v>
      </c>
      <c r="L19" s="405">
        <v>10920.149999999998</v>
      </c>
      <c r="M19" s="405">
        <v>10920.149999999998</v>
      </c>
      <c r="N19" s="405">
        <v>10920.149999999998</v>
      </c>
      <c r="O19" s="405">
        <v>10920.149999999998</v>
      </c>
      <c r="P19" s="405">
        <v>10920.149999999998</v>
      </c>
      <c r="Q19" s="405">
        <v>10920.149999999998</v>
      </c>
      <c r="R19" s="405">
        <v>10920.149999999998</v>
      </c>
      <c r="S19" s="405">
        <v>10920.149999999998</v>
      </c>
      <c r="T19" s="405">
        <v>10920.149999999998</v>
      </c>
      <c r="U19" s="405">
        <v>10920.149999999998</v>
      </c>
      <c r="V19" s="405">
        <v>10920.149999999998</v>
      </c>
      <c r="W19" s="405">
        <v>10920.149999999998</v>
      </c>
      <c r="X19" s="405">
        <v>10920.149999999998</v>
      </c>
      <c r="Y19" s="405">
        <v>10920.149999999998</v>
      </c>
      <c r="Z19" s="405">
        <v>10920.149999999998</v>
      </c>
      <c r="AA19" s="405">
        <v>10920.149999999998</v>
      </c>
      <c r="AB19" s="405">
        <v>10920.149999999998</v>
      </c>
      <c r="AC19" s="405">
        <v>10920.149999999998</v>
      </c>
      <c r="AD19" s="405">
        <v>10920.149999999998</v>
      </c>
      <c r="AE19" s="405">
        <v>10920.149999999998</v>
      </c>
      <c r="AF19" s="405">
        <v>10920.149999999998</v>
      </c>
      <c r="AG19" s="405">
        <v>10920.149999999998</v>
      </c>
      <c r="AH19" s="405">
        <v>10920.149999999998</v>
      </c>
      <c r="AI19" s="405">
        <v>10920.149999999998</v>
      </c>
      <c r="AJ19" s="405">
        <v>10920.149999999998</v>
      </c>
      <c r="AK19" s="405">
        <v>10920.149999999998</v>
      </c>
      <c r="AL19" s="405">
        <v>10920.149999999998</v>
      </c>
      <c r="AM19" s="405">
        <v>10920.149999999998</v>
      </c>
      <c r="AN19" s="405">
        <v>10920.149999999998</v>
      </c>
      <c r="AO19" s="405">
        <v>10920.149999999998</v>
      </c>
      <c r="AP19" s="405">
        <v>10920.149999999998</v>
      </c>
      <c r="AQ19" s="405">
        <v>10920.149999999998</v>
      </c>
      <c r="AR19" s="405">
        <v>10920.149999999998</v>
      </c>
      <c r="AS19" s="405">
        <v>10920.149999999998</v>
      </c>
      <c r="AT19" s="405">
        <v>10920.149999999998</v>
      </c>
      <c r="AU19" s="405">
        <v>10920.149999999998</v>
      </c>
      <c r="AV19" s="405">
        <v>10920.149999999998</v>
      </c>
      <c r="AW19" s="405">
        <v>10920.149999999998</v>
      </c>
      <c r="AX19" s="405">
        <v>10920.149999999998</v>
      </c>
      <c r="AY19" s="405">
        <v>10920.149999999998</v>
      </c>
      <c r="AZ19" s="405">
        <v>10920.149999999998</v>
      </c>
      <c r="BA19" s="405">
        <v>10920.149999999998</v>
      </c>
      <c r="BB19" s="405">
        <v>10920.149999999998</v>
      </c>
      <c r="BC19" s="405">
        <v>10920.149999999998</v>
      </c>
      <c r="BD19" s="405">
        <v>10920.149999999998</v>
      </c>
      <c r="BE19" s="405">
        <v>10920.149999999998</v>
      </c>
      <c r="BF19" s="405">
        <v>10920.149999999998</v>
      </c>
      <c r="BG19" s="405">
        <v>10920.149999999998</v>
      </c>
      <c r="BH19" s="405">
        <v>10920.149999999998</v>
      </c>
      <c r="BI19" s="405">
        <v>10920.149999999998</v>
      </c>
      <c r="BJ19" s="405">
        <v>10920.149999999998</v>
      </c>
      <c r="BK19" s="405">
        <v>10920.149999999998</v>
      </c>
      <c r="BL19" s="405">
        <v>10920.149999999998</v>
      </c>
      <c r="BM19" s="405">
        <v>10920.149999999998</v>
      </c>
      <c r="BN19" s="405">
        <v>10920.149999999998</v>
      </c>
      <c r="BO19" s="405">
        <v>10920.149999999998</v>
      </c>
      <c r="BP19" s="405">
        <v>10920.149999999998</v>
      </c>
      <c r="BQ19" s="405">
        <v>10920.149999999998</v>
      </c>
      <c r="BR19" s="405">
        <v>10920.149999999998</v>
      </c>
      <c r="BS19" s="405">
        <v>10920.149999999998</v>
      </c>
      <c r="BT19" s="405">
        <v>10920.149999999998</v>
      </c>
      <c r="BU19" s="405">
        <v>10920.149999999998</v>
      </c>
      <c r="BV19" s="405">
        <v>10920.149999999998</v>
      </c>
      <c r="BW19" s="405">
        <v>10920.149999999998</v>
      </c>
      <c r="BX19" s="405">
        <v>10920.149999999998</v>
      </c>
      <c r="BY19" s="405">
        <v>10920.149999999998</v>
      </c>
      <c r="BZ19" s="405">
        <v>10920.149999999998</v>
      </c>
      <c r="CA19" s="405">
        <v>10920.149999999998</v>
      </c>
      <c r="CB19" s="405">
        <v>10920.149999999998</v>
      </c>
      <c r="CC19" s="405">
        <v>10920.149999999998</v>
      </c>
      <c r="CD19" s="405">
        <v>10920.149999999998</v>
      </c>
      <c r="CE19" s="405">
        <v>10920.149999999998</v>
      </c>
      <c r="CF19" s="405">
        <v>10920.149999999998</v>
      </c>
      <c r="CG19" s="405">
        <v>10920.149999999998</v>
      </c>
      <c r="CH19" s="405">
        <v>10920.149999999998</v>
      </c>
      <c r="CI19" s="405">
        <v>10920.149999999998</v>
      </c>
      <c r="CJ19" s="405">
        <v>10920.149999999998</v>
      </c>
      <c r="CK19" s="405">
        <v>10920.149999999998</v>
      </c>
      <c r="CL19" s="405">
        <v>10920.149999999998</v>
      </c>
      <c r="CM19" s="405">
        <v>10920.149999999998</v>
      </c>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row>
    <row r="20" spans="1:178">
      <c r="A20" s="1060"/>
      <c r="B20" s="2" t="s">
        <v>309</v>
      </c>
      <c r="C20" s="362" t="s">
        <v>310</v>
      </c>
      <c r="D20" s="362"/>
      <c r="E20" s="1063"/>
      <c r="F20" s="404" t="str">
        <f>F9</f>
        <v xml:space="preserve"> 1,3 Butadiene </v>
      </c>
      <c r="G20" s="405">
        <v>10338.423458333333</v>
      </c>
      <c r="H20" s="405">
        <v>10338.423458333333</v>
      </c>
      <c r="I20" s="405">
        <v>10338.423458333333</v>
      </c>
      <c r="J20" s="405">
        <v>10338.423458333333</v>
      </c>
      <c r="K20" s="405">
        <v>10338.423458333333</v>
      </c>
      <c r="L20" s="405">
        <v>10338.423458333333</v>
      </c>
      <c r="M20" s="405">
        <v>10338.423458333333</v>
      </c>
      <c r="N20" s="405">
        <v>10338.423458333333</v>
      </c>
      <c r="O20" s="405">
        <v>10338.423458333333</v>
      </c>
      <c r="P20" s="405">
        <v>10338.423458333333</v>
      </c>
      <c r="Q20" s="405">
        <v>10338.423458333333</v>
      </c>
      <c r="R20" s="405">
        <v>10338.423458333333</v>
      </c>
      <c r="S20" s="405">
        <v>10338.423458333333</v>
      </c>
      <c r="T20" s="405">
        <v>10338.423458333333</v>
      </c>
      <c r="U20" s="405">
        <v>10338.423458333333</v>
      </c>
      <c r="V20" s="405">
        <v>10338.423458333333</v>
      </c>
      <c r="W20" s="405">
        <v>10338.423458333333</v>
      </c>
      <c r="X20" s="405">
        <v>10338.423458333333</v>
      </c>
      <c r="Y20" s="405">
        <v>10338.423458333333</v>
      </c>
      <c r="Z20" s="405">
        <v>10338.423458333333</v>
      </c>
      <c r="AA20" s="405">
        <v>10338.423458333333</v>
      </c>
      <c r="AB20" s="405">
        <v>10338.423458333333</v>
      </c>
      <c r="AC20" s="405">
        <v>10338.423458333333</v>
      </c>
      <c r="AD20" s="405">
        <v>10338.423458333333</v>
      </c>
      <c r="AE20" s="405">
        <v>10338.423458333333</v>
      </c>
      <c r="AF20" s="405">
        <v>10338.423458333333</v>
      </c>
      <c r="AG20" s="405">
        <v>10338.423458333333</v>
      </c>
      <c r="AH20" s="405">
        <v>10338.423458333333</v>
      </c>
      <c r="AI20" s="405">
        <v>10338.423458333333</v>
      </c>
      <c r="AJ20" s="405">
        <v>10338.423458333333</v>
      </c>
      <c r="AK20" s="405">
        <v>10338.423458333333</v>
      </c>
      <c r="AL20" s="405">
        <v>10338.423458333333</v>
      </c>
      <c r="AM20" s="405">
        <v>10338.423458333333</v>
      </c>
      <c r="AN20" s="405">
        <v>10338.423458333333</v>
      </c>
      <c r="AO20" s="405">
        <v>10338.423458333333</v>
      </c>
      <c r="AP20" s="405">
        <v>10338.423458333333</v>
      </c>
      <c r="AQ20" s="405">
        <v>10338.423458333333</v>
      </c>
      <c r="AR20" s="405">
        <v>10338.423458333333</v>
      </c>
      <c r="AS20" s="405">
        <v>10338.423458333333</v>
      </c>
      <c r="AT20" s="405">
        <v>10338.423458333333</v>
      </c>
      <c r="AU20" s="405">
        <v>10338.423458333333</v>
      </c>
      <c r="AV20" s="405">
        <v>10338.423458333333</v>
      </c>
      <c r="AW20" s="405">
        <v>10338.423458333333</v>
      </c>
      <c r="AX20" s="405">
        <v>10338.423458333333</v>
      </c>
      <c r="AY20" s="405">
        <v>10338.423458333333</v>
      </c>
      <c r="AZ20" s="405">
        <v>10338.423458333333</v>
      </c>
      <c r="BA20" s="405">
        <v>10338.423458333333</v>
      </c>
      <c r="BB20" s="405">
        <v>10338.423458333333</v>
      </c>
      <c r="BC20" s="405">
        <v>10338.423458333333</v>
      </c>
      <c r="BD20" s="405">
        <v>10338.423458333333</v>
      </c>
      <c r="BE20" s="405">
        <v>10338.423458333333</v>
      </c>
      <c r="BF20" s="405">
        <v>10338.423458333333</v>
      </c>
      <c r="BG20" s="405">
        <v>10338.423458333333</v>
      </c>
      <c r="BH20" s="405">
        <v>10338.423458333333</v>
      </c>
      <c r="BI20" s="405">
        <v>10338.423458333333</v>
      </c>
      <c r="BJ20" s="405">
        <v>10338.423458333333</v>
      </c>
      <c r="BK20" s="405">
        <v>10338.423458333333</v>
      </c>
      <c r="BL20" s="405">
        <v>10338.423458333333</v>
      </c>
      <c r="BM20" s="405">
        <v>10338.423458333333</v>
      </c>
      <c r="BN20" s="405">
        <v>10338.423458333333</v>
      </c>
      <c r="BO20" s="405">
        <v>10338.423458333333</v>
      </c>
      <c r="BP20" s="405">
        <v>10338.423458333333</v>
      </c>
      <c r="BQ20" s="405">
        <v>10338.423458333333</v>
      </c>
      <c r="BR20" s="405">
        <v>10338.423458333333</v>
      </c>
      <c r="BS20" s="405">
        <v>10338.423458333333</v>
      </c>
      <c r="BT20" s="405">
        <v>10338.423458333333</v>
      </c>
      <c r="BU20" s="405">
        <v>10338.423458333333</v>
      </c>
      <c r="BV20" s="405">
        <v>10338.423458333333</v>
      </c>
      <c r="BW20" s="405">
        <v>10338.423458333333</v>
      </c>
      <c r="BX20" s="405">
        <v>10338.423458333333</v>
      </c>
      <c r="BY20" s="405">
        <v>10338.423458333333</v>
      </c>
      <c r="BZ20" s="405">
        <v>10338.423458333333</v>
      </c>
      <c r="CA20" s="405">
        <v>10338.423458333333</v>
      </c>
      <c r="CB20" s="405">
        <v>10338.423458333333</v>
      </c>
      <c r="CC20" s="405">
        <v>10338.423458333333</v>
      </c>
      <c r="CD20" s="405">
        <v>10338.423458333333</v>
      </c>
      <c r="CE20" s="405">
        <v>10338.423458333333</v>
      </c>
      <c r="CF20" s="405">
        <v>10338.423458333333</v>
      </c>
      <c r="CG20" s="405">
        <v>10338.423458333333</v>
      </c>
      <c r="CH20" s="405">
        <v>10338.423458333333</v>
      </c>
      <c r="CI20" s="405">
        <v>10338.423458333333</v>
      </c>
      <c r="CJ20" s="405">
        <v>10338.423458333333</v>
      </c>
      <c r="CK20" s="405">
        <v>10338.423458333333</v>
      </c>
      <c r="CL20" s="405">
        <v>10338.423458333333</v>
      </c>
      <c r="CM20" s="405">
        <v>10338.423458333333</v>
      </c>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row>
    <row r="21" spans="1:178">
      <c r="A21" s="1060"/>
      <c r="B21" s="2" t="s">
        <v>309</v>
      </c>
      <c r="C21" s="362" t="s">
        <v>310</v>
      </c>
      <c r="D21" s="362"/>
      <c r="E21" s="1063"/>
      <c r="F21" s="404" t="str">
        <f>F10</f>
        <v xml:space="preserve"> Hydrogenated Pygas (HPG) </v>
      </c>
      <c r="G21" s="405">
        <v>12285</v>
      </c>
      <c r="H21" s="405">
        <v>12285</v>
      </c>
      <c r="I21" s="405">
        <v>12285</v>
      </c>
      <c r="J21" s="405">
        <v>12285</v>
      </c>
      <c r="K21" s="405">
        <v>12285</v>
      </c>
      <c r="L21" s="405">
        <v>12285</v>
      </c>
      <c r="M21" s="405">
        <v>12285</v>
      </c>
      <c r="N21" s="405">
        <v>12285</v>
      </c>
      <c r="O21" s="405">
        <v>12285</v>
      </c>
      <c r="P21" s="405">
        <v>12285</v>
      </c>
      <c r="Q21" s="405">
        <v>12285</v>
      </c>
      <c r="R21" s="405">
        <v>12285</v>
      </c>
      <c r="S21" s="405">
        <v>12285</v>
      </c>
      <c r="T21" s="405">
        <v>12285</v>
      </c>
      <c r="U21" s="405">
        <v>12285</v>
      </c>
      <c r="V21" s="405">
        <v>12285</v>
      </c>
      <c r="W21" s="405">
        <v>12285</v>
      </c>
      <c r="X21" s="405">
        <v>12285</v>
      </c>
      <c r="Y21" s="405">
        <v>12285</v>
      </c>
      <c r="Z21" s="405">
        <v>12285</v>
      </c>
      <c r="AA21" s="405">
        <v>12285</v>
      </c>
      <c r="AB21" s="405">
        <v>12285</v>
      </c>
      <c r="AC21" s="405">
        <v>12285</v>
      </c>
      <c r="AD21" s="405">
        <v>12285</v>
      </c>
      <c r="AE21" s="405">
        <v>12285</v>
      </c>
      <c r="AF21" s="405">
        <v>12285</v>
      </c>
      <c r="AG21" s="405">
        <v>12285</v>
      </c>
      <c r="AH21" s="405">
        <v>12285</v>
      </c>
      <c r="AI21" s="405">
        <v>12285</v>
      </c>
      <c r="AJ21" s="405">
        <v>12285</v>
      </c>
      <c r="AK21" s="405">
        <v>12285</v>
      </c>
      <c r="AL21" s="405">
        <v>12285</v>
      </c>
      <c r="AM21" s="405">
        <v>12285</v>
      </c>
      <c r="AN21" s="405">
        <v>12285</v>
      </c>
      <c r="AO21" s="405">
        <v>12285</v>
      </c>
      <c r="AP21" s="405">
        <v>12285</v>
      </c>
      <c r="AQ21" s="405">
        <v>12285</v>
      </c>
      <c r="AR21" s="405">
        <v>12285</v>
      </c>
      <c r="AS21" s="405">
        <v>12285</v>
      </c>
      <c r="AT21" s="405">
        <v>12285</v>
      </c>
      <c r="AU21" s="405">
        <v>12285</v>
      </c>
      <c r="AV21" s="405">
        <v>12285</v>
      </c>
      <c r="AW21" s="405">
        <v>12285</v>
      </c>
      <c r="AX21" s="405">
        <v>12285</v>
      </c>
      <c r="AY21" s="405">
        <v>12285</v>
      </c>
      <c r="AZ21" s="405">
        <v>12285</v>
      </c>
      <c r="BA21" s="405">
        <v>12285</v>
      </c>
      <c r="BB21" s="405">
        <v>12285</v>
      </c>
      <c r="BC21" s="405">
        <v>12285</v>
      </c>
      <c r="BD21" s="405">
        <v>12285</v>
      </c>
      <c r="BE21" s="405">
        <v>12285</v>
      </c>
      <c r="BF21" s="405">
        <v>12285</v>
      </c>
      <c r="BG21" s="405">
        <v>12285</v>
      </c>
      <c r="BH21" s="405">
        <v>12285</v>
      </c>
      <c r="BI21" s="405">
        <v>12285</v>
      </c>
      <c r="BJ21" s="405">
        <v>12285</v>
      </c>
      <c r="BK21" s="405">
        <v>12285</v>
      </c>
      <c r="BL21" s="405">
        <v>12285</v>
      </c>
      <c r="BM21" s="405">
        <v>12285</v>
      </c>
      <c r="BN21" s="405">
        <v>12285</v>
      </c>
      <c r="BO21" s="405">
        <v>12285</v>
      </c>
      <c r="BP21" s="405">
        <v>12285</v>
      </c>
      <c r="BQ21" s="405">
        <v>12285</v>
      </c>
      <c r="BR21" s="405">
        <v>12285</v>
      </c>
      <c r="BS21" s="405">
        <v>12285</v>
      </c>
      <c r="BT21" s="405">
        <v>12285</v>
      </c>
      <c r="BU21" s="405">
        <v>12285</v>
      </c>
      <c r="BV21" s="405">
        <v>12285</v>
      </c>
      <c r="BW21" s="405">
        <v>12285</v>
      </c>
      <c r="BX21" s="405">
        <v>12285</v>
      </c>
      <c r="BY21" s="405">
        <v>12285</v>
      </c>
      <c r="BZ21" s="405">
        <v>12285</v>
      </c>
      <c r="CA21" s="405">
        <v>12285</v>
      </c>
      <c r="CB21" s="405">
        <v>12285</v>
      </c>
      <c r="CC21" s="405">
        <v>12285</v>
      </c>
      <c r="CD21" s="405">
        <v>12285</v>
      </c>
      <c r="CE21" s="405">
        <v>12285</v>
      </c>
      <c r="CF21" s="405">
        <v>12285</v>
      </c>
      <c r="CG21" s="405">
        <v>12285</v>
      </c>
      <c r="CH21" s="405">
        <v>12285</v>
      </c>
      <c r="CI21" s="405">
        <v>12285</v>
      </c>
      <c r="CJ21" s="405">
        <v>12285</v>
      </c>
      <c r="CK21" s="405">
        <v>12285</v>
      </c>
      <c r="CL21" s="405">
        <v>12285</v>
      </c>
      <c r="CM21" s="405">
        <v>12285</v>
      </c>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row>
    <row r="22" spans="1:178">
      <c r="A22" s="1060"/>
      <c r="B22" s="2" t="s">
        <v>309</v>
      </c>
      <c r="C22" s="362" t="s">
        <v>310</v>
      </c>
      <c r="D22" s="362"/>
      <c r="E22" s="1063"/>
      <c r="F22" s="404" t="str">
        <f>F11</f>
        <v xml:space="preserve"> CBFS </v>
      </c>
      <c r="G22" s="405">
        <f>4945.25</f>
        <v>4945.25</v>
      </c>
      <c r="H22" s="405">
        <f t="shared" ref="H22:BS22" si="1">4945.25</f>
        <v>4945.25</v>
      </c>
      <c r="I22" s="405">
        <f t="shared" si="1"/>
        <v>4945.25</v>
      </c>
      <c r="J22" s="405">
        <f t="shared" si="1"/>
        <v>4945.25</v>
      </c>
      <c r="K22" s="405">
        <f t="shared" si="1"/>
        <v>4945.25</v>
      </c>
      <c r="L22" s="405">
        <f t="shared" si="1"/>
        <v>4945.25</v>
      </c>
      <c r="M22" s="405">
        <f t="shared" si="1"/>
        <v>4945.25</v>
      </c>
      <c r="N22" s="405">
        <f t="shared" si="1"/>
        <v>4945.25</v>
      </c>
      <c r="O22" s="405">
        <f t="shared" si="1"/>
        <v>4945.25</v>
      </c>
      <c r="P22" s="405">
        <f t="shared" si="1"/>
        <v>4945.25</v>
      </c>
      <c r="Q22" s="405">
        <f t="shared" si="1"/>
        <v>4945.25</v>
      </c>
      <c r="R22" s="405">
        <f t="shared" si="1"/>
        <v>4945.25</v>
      </c>
      <c r="S22" s="405">
        <f t="shared" si="1"/>
        <v>4945.25</v>
      </c>
      <c r="T22" s="405">
        <f t="shared" si="1"/>
        <v>4945.25</v>
      </c>
      <c r="U22" s="405">
        <f t="shared" si="1"/>
        <v>4945.25</v>
      </c>
      <c r="V22" s="405">
        <f t="shared" si="1"/>
        <v>4945.25</v>
      </c>
      <c r="W22" s="405">
        <f t="shared" si="1"/>
        <v>4945.25</v>
      </c>
      <c r="X22" s="405">
        <f t="shared" si="1"/>
        <v>4945.25</v>
      </c>
      <c r="Y22" s="405">
        <f t="shared" si="1"/>
        <v>4945.25</v>
      </c>
      <c r="Z22" s="405">
        <f t="shared" si="1"/>
        <v>4945.25</v>
      </c>
      <c r="AA22" s="405">
        <f t="shared" si="1"/>
        <v>4945.25</v>
      </c>
      <c r="AB22" s="405">
        <f t="shared" si="1"/>
        <v>4945.25</v>
      </c>
      <c r="AC22" s="405">
        <f t="shared" si="1"/>
        <v>4945.25</v>
      </c>
      <c r="AD22" s="405">
        <f t="shared" si="1"/>
        <v>4945.25</v>
      </c>
      <c r="AE22" s="405">
        <f t="shared" si="1"/>
        <v>4945.25</v>
      </c>
      <c r="AF22" s="405">
        <f t="shared" si="1"/>
        <v>4945.25</v>
      </c>
      <c r="AG22" s="405">
        <f t="shared" si="1"/>
        <v>4945.25</v>
      </c>
      <c r="AH22" s="405">
        <f t="shared" si="1"/>
        <v>4945.25</v>
      </c>
      <c r="AI22" s="405">
        <f t="shared" si="1"/>
        <v>4945.25</v>
      </c>
      <c r="AJ22" s="405">
        <f t="shared" si="1"/>
        <v>4945.25</v>
      </c>
      <c r="AK22" s="405">
        <f t="shared" si="1"/>
        <v>4945.25</v>
      </c>
      <c r="AL22" s="405">
        <f t="shared" si="1"/>
        <v>4945.25</v>
      </c>
      <c r="AM22" s="405">
        <f t="shared" si="1"/>
        <v>4945.25</v>
      </c>
      <c r="AN22" s="405">
        <f t="shared" si="1"/>
        <v>4945.25</v>
      </c>
      <c r="AO22" s="405">
        <f t="shared" si="1"/>
        <v>4945.25</v>
      </c>
      <c r="AP22" s="405">
        <f t="shared" si="1"/>
        <v>4945.25</v>
      </c>
      <c r="AQ22" s="405">
        <f t="shared" si="1"/>
        <v>4945.25</v>
      </c>
      <c r="AR22" s="405">
        <f t="shared" si="1"/>
        <v>4945.25</v>
      </c>
      <c r="AS22" s="405">
        <f t="shared" si="1"/>
        <v>4945.25</v>
      </c>
      <c r="AT22" s="405">
        <f t="shared" si="1"/>
        <v>4945.25</v>
      </c>
      <c r="AU22" s="405">
        <f t="shared" si="1"/>
        <v>4945.25</v>
      </c>
      <c r="AV22" s="405">
        <f t="shared" si="1"/>
        <v>4945.25</v>
      </c>
      <c r="AW22" s="405">
        <f t="shared" si="1"/>
        <v>4945.25</v>
      </c>
      <c r="AX22" s="405">
        <f t="shared" si="1"/>
        <v>4945.25</v>
      </c>
      <c r="AY22" s="405">
        <f t="shared" si="1"/>
        <v>4945.25</v>
      </c>
      <c r="AZ22" s="405">
        <f t="shared" si="1"/>
        <v>4945.25</v>
      </c>
      <c r="BA22" s="405">
        <f t="shared" si="1"/>
        <v>4945.25</v>
      </c>
      <c r="BB22" s="405">
        <f t="shared" si="1"/>
        <v>4945.25</v>
      </c>
      <c r="BC22" s="405">
        <f t="shared" si="1"/>
        <v>4945.25</v>
      </c>
      <c r="BD22" s="405">
        <f t="shared" si="1"/>
        <v>4945.25</v>
      </c>
      <c r="BE22" s="405">
        <f t="shared" si="1"/>
        <v>4945.25</v>
      </c>
      <c r="BF22" s="405">
        <f t="shared" si="1"/>
        <v>4945.25</v>
      </c>
      <c r="BG22" s="405">
        <f t="shared" si="1"/>
        <v>4945.25</v>
      </c>
      <c r="BH22" s="405">
        <f t="shared" si="1"/>
        <v>4945.25</v>
      </c>
      <c r="BI22" s="405">
        <f t="shared" si="1"/>
        <v>4945.25</v>
      </c>
      <c r="BJ22" s="405">
        <f t="shared" si="1"/>
        <v>4945.25</v>
      </c>
      <c r="BK22" s="405">
        <f t="shared" si="1"/>
        <v>4945.25</v>
      </c>
      <c r="BL22" s="405">
        <f t="shared" si="1"/>
        <v>4945.25</v>
      </c>
      <c r="BM22" s="405">
        <f t="shared" si="1"/>
        <v>4945.25</v>
      </c>
      <c r="BN22" s="405">
        <f t="shared" si="1"/>
        <v>4945.25</v>
      </c>
      <c r="BO22" s="405">
        <f t="shared" si="1"/>
        <v>4945.25</v>
      </c>
      <c r="BP22" s="405">
        <f t="shared" si="1"/>
        <v>4945.25</v>
      </c>
      <c r="BQ22" s="405">
        <f t="shared" si="1"/>
        <v>4945.25</v>
      </c>
      <c r="BR22" s="405">
        <f t="shared" si="1"/>
        <v>4945.25</v>
      </c>
      <c r="BS22" s="405">
        <f t="shared" si="1"/>
        <v>4945.25</v>
      </c>
      <c r="BT22" s="405">
        <f t="shared" ref="BT22:CM22" si="2">4945.25</f>
        <v>4945.25</v>
      </c>
      <c r="BU22" s="405">
        <f t="shared" si="2"/>
        <v>4945.25</v>
      </c>
      <c r="BV22" s="405">
        <f t="shared" si="2"/>
        <v>4945.25</v>
      </c>
      <c r="BW22" s="405">
        <f t="shared" si="2"/>
        <v>4945.25</v>
      </c>
      <c r="BX22" s="405">
        <f t="shared" si="2"/>
        <v>4945.25</v>
      </c>
      <c r="BY22" s="405">
        <f t="shared" si="2"/>
        <v>4945.25</v>
      </c>
      <c r="BZ22" s="405">
        <f t="shared" si="2"/>
        <v>4945.25</v>
      </c>
      <c r="CA22" s="405">
        <f t="shared" si="2"/>
        <v>4945.25</v>
      </c>
      <c r="CB22" s="405">
        <f t="shared" si="2"/>
        <v>4945.25</v>
      </c>
      <c r="CC22" s="405">
        <f t="shared" si="2"/>
        <v>4945.25</v>
      </c>
      <c r="CD22" s="405">
        <f t="shared" si="2"/>
        <v>4945.25</v>
      </c>
      <c r="CE22" s="405">
        <f t="shared" si="2"/>
        <v>4945.25</v>
      </c>
      <c r="CF22" s="405">
        <f t="shared" si="2"/>
        <v>4945.25</v>
      </c>
      <c r="CG22" s="405">
        <f t="shared" si="2"/>
        <v>4945.25</v>
      </c>
      <c r="CH22" s="405">
        <f t="shared" si="2"/>
        <v>4945.25</v>
      </c>
      <c r="CI22" s="405">
        <f t="shared" si="2"/>
        <v>4945.25</v>
      </c>
      <c r="CJ22" s="405">
        <f t="shared" si="2"/>
        <v>4945.25</v>
      </c>
      <c r="CK22" s="405">
        <f t="shared" si="2"/>
        <v>4945.25</v>
      </c>
      <c r="CL22" s="405">
        <f t="shared" si="2"/>
        <v>4945.25</v>
      </c>
      <c r="CM22" s="405">
        <f t="shared" si="2"/>
        <v>4945.25</v>
      </c>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row>
    <row r="23" spans="1:178">
      <c r="A23" s="1061"/>
      <c r="B23" s="224" t="s">
        <v>309</v>
      </c>
      <c r="C23" s="367" t="s">
        <v>310</v>
      </c>
      <c r="D23" s="367"/>
      <c r="E23" s="1064"/>
      <c r="F23" s="407" t="str">
        <f>F12</f>
        <v xml:space="preserve"> C9+   </v>
      </c>
      <c r="G23" s="408">
        <f>3685.55</f>
        <v>3685.55</v>
      </c>
      <c r="H23" s="408">
        <f t="shared" ref="H23:BS23" si="3">3685.55</f>
        <v>3685.55</v>
      </c>
      <c r="I23" s="408">
        <f t="shared" si="3"/>
        <v>3685.55</v>
      </c>
      <c r="J23" s="408">
        <f t="shared" si="3"/>
        <v>3685.55</v>
      </c>
      <c r="K23" s="408">
        <f t="shared" si="3"/>
        <v>3685.55</v>
      </c>
      <c r="L23" s="408">
        <f t="shared" si="3"/>
        <v>3685.55</v>
      </c>
      <c r="M23" s="408">
        <f t="shared" si="3"/>
        <v>3685.55</v>
      </c>
      <c r="N23" s="408">
        <f t="shared" si="3"/>
        <v>3685.55</v>
      </c>
      <c r="O23" s="408">
        <f t="shared" si="3"/>
        <v>3685.55</v>
      </c>
      <c r="P23" s="408">
        <f t="shared" si="3"/>
        <v>3685.55</v>
      </c>
      <c r="Q23" s="408">
        <f t="shared" si="3"/>
        <v>3685.55</v>
      </c>
      <c r="R23" s="408">
        <f t="shared" si="3"/>
        <v>3685.55</v>
      </c>
      <c r="S23" s="408">
        <f t="shared" si="3"/>
        <v>3685.55</v>
      </c>
      <c r="T23" s="408">
        <f t="shared" si="3"/>
        <v>3685.55</v>
      </c>
      <c r="U23" s="408">
        <f t="shared" si="3"/>
        <v>3685.55</v>
      </c>
      <c r="V23" s="408">
        <f t="shared" si="3"/>
        <v>3685.55</v>
      </c>
      <c r="W23" s="408">
        <f t="shared" si="3"/>
        <v>3685.55</v>
      </c>
      <c r="X23" s="408">
        <f t="shared" si="3"/>
        <v>3685.55</v>
      </c>
      <c r="Y23" s="408">
        <f t="shared" si="3"/>
        <v>3685.55</v>
      </c>
      <c r="Z23" s="408">
        <f t="shared" si="3"/>
        <v>3685.55</v>
      </c>
      <c r="AA23" s="408">
        <f t="shared" si="3"/>
        <v>3685.55</v>
      </c>
      <c r="AB23" s="408">
        <f t="shared" si="3"/>
        <v>3685.55</v>
      </c>
      <c r="AC23" s="408">
        <f t="shared" si="3"/>
        <v>3685.55</v>
      </c>
      <c r="AD23" s="408">
        <f t="shared" si="3"/>
        <v>3685.55</v>
      </c>
      <c r="AE23" s="408">
        <f t="shared" si="3"/>
        <v>3685.55</v>
      </c>
      <c r="AF23" s="408">
        <f t="shared" si="3"/>
        <v>3685.55</v>
      </c>
      <c r="AG23" s="408">
        <f t="shared" si="3"/>
        <v>3685.55</v>
      </c>
      <c r="AH23" s="408">
        <f t="shared" si="3"/>
        <v>3685.55</v>
      </c>
      <c r="AI23" s="408">
        <f t="shared" si="3"/>
        <v>3685.55</v>
      </c>
      <c r="AJ23" s="408">
        <f t="shared" si="3"/>
        <v>3685.55</v>
      </c>
      <c r="AK23" s="408">
        <f t="shared" si="3"/>
        <v>3685.55</v>
      </c>
      <c r="AL23" s="408">
        <f t="shared" si="3"/>
        <v>3685.55</v>
      </c>
      <c r="AM23" s="408">
        <f t="shared" si="3"/>
        <v>3685.55</v>
      </c>
      <c r="AN23" s="408">
        <f t="shared" si="3"/>
        <v>3685.55</v>
      </c>
      <c r="AO23" s="408">
        <f t="shared" si="3"/>
        <v>3685.55</v>
      </c>
      <c r="AP23" s="408">
        <f t="shared" si="3"/>
        <v>3685.55</v>
      </c>
      <c r="AQ23" s="408">
        <f t="shared" si="3"/>
        <v>3685.55</v>
      </c>
      <c r="AR23" s="408">
        <f t="shared" si="3"/>
        <v>3685.55</v>
      </c>
      <c r="AS23" s="408">
        <f t="shared" si="3"/>
        <v>3685.55</v>
      </c>
      <c r="AT23" s="408">
        <f t="shared" si="3"/>
        <v>3685.55</v>
      </c>
      <c r="AU23" s="408">
        <f t="shared" si="3"/>
        <v>3685.55</v>
      </c>
      <c r="AV23" s="408">
        <f t="shared" si="3"/>
        <v>3685.55</v>
      </c>
      <c r="AW23" s="408">
        <f t="shared" si="3"/>
        <v>3685.55</v>
      </c>
      <c r="AX23" s="408">
        <f t="shared" si="3"/>
        <v>3685.55</v>
      </c>
      <c r="AY23" s="408">
        <f t="shared" si="3"/>
        <v>3685.55</v>
      </c>
      <c r="AZ23" s="408">
        <f t="shared" si="3"/>
        <v>3685.55</v>
      </c>
      <c r="BA23" s="408">
        <f t="shared" si="3"/>
        <v>3685.55</v>
      </c>
      <c r="BB23" s="408">
        <f t="shared" si="3"/>
        <v>3685.55</v>
      </c>
      <c r="BC23" s="408">
        <f t="shared" si="3"/>
        <v>3685.55</v>
      </c>
      <c r="BD23" s="408">
        <f t="shared" si="3"/>
        <v>3685.55</v>
      </c>
      <c r="BE23" s="408">
        <f t="shared" si="3"/>
        <v>3685.55</v>
      </c>
      <c r="BF23" s="408">
        <f t="shared" si="3"/>
        <v>3685.55</v>
      </c>
      <c r="BG23" s="408">
        <f t="shared" si="3"/>
        <v>3685.55</v>
      </c>
      <c r="BH23" s="408">
        <f t="shared" si="3"/>
        <v>3685.55</v>
      </c>
      <c r="BI23" s="408">
        <f t="shared" si="3"/>
        <v>3685.55</v>
      </c>
      <c r="BJ23" s="408">
        <f t="shared" si="3"/>
        <v>3685.55</v>
      </c>
      <c r="BK23" s="408">
        <f t="shared" si="3"/>
        <v>3685.55</v>
      </c>
      <c r="BL23" s="408">
        <f t="shared" si="3"/>
        <v>3685.55</v>
      </c>
      <c r="BM23" s="408">
        <f t="shared" si="3"/>
        <v>3685.55</v>
      </c>
      <c r="BN23" s="408">
        <f t="shared" si="3"/>
        <v>3685.55</v>
      </c>
      <c r="BO23" s="408">
        <f t="shared" si="3"/>
        <v>3685.55</v>
      </c>
      <c r="BP23" s="408">
        <f t="shared" si="3"/>
        <v>3685.55</v>
      </c>
      <c r="BQ23" s="408">
        <f t="shared" si="3"/>
        <v>3685.55</v>
      </c>
      <c r="BR23" s="408">
        <f t="shared" si="3"/>
        <v>3685.55</v>
      </c>
      <c r="BS23" s="408">
        <f t="shared" si="3"/>
        <v>3685.55</v>
      </c>
      <c r="BT23" s="408">
        <f t="shared" ref="BT23:CM23" si="4">3685.55</f>
        <v>3685.55</v>
      </c>
      <c r="BU23" s="408">
        <f t="shared" si="4"/>
        <v>3685.55</v>
      </c>
      <c r="BV23" s="408">
        <f t="shared" si="4"/>
        <v>3685.55</v>
      </c>
      <c r="BW23" s="408">
        <f t="shared" si="4"/>
        <v>3685.55</v>
      </c>
      <c r="BX23" s="408">
        <f t="shared" si="4"/>
        <v>3685.55</v>
      </c>
      <c r="BY23" s="408">
        <f t="shared" si="4"/>
        <v>3685.55</v>
      </c>
      <c r="BZ23" s="408">
        <f t="shared" si="4"/>
        <v>3685.55</v>
      </c>
      <c r="CA23" s="408">
        <f t="shared" si="4"/>
        <v>3685.55</v>
      </c>
      <c r="CB23" s="408">
        <f t="shared" si="4"/>
        <v>3685.55</v>
      </c>
      <c r="CC23" s="408">
        <f t="shared" si="4"/>
        <v>3685.55</v>
      </c>
      <c r="CD23" s="408">
        <f t="shared" si="4"/>
        <v>3685.55</v>
      </c>
      <c r="CE23" s="408">
        <f t="shared" si="4"/>
        <v>3685.55</v>
      </c>
      <c r="CF23" s="408">
        <f t="shared" si="4"/>
        <v>3685.55</v>
      </c>
      <c r="CG23" s="408">
        <f t="shared" si="4"/>
        <v>3685.55</v>
      </c>
      <c r="CH23" s="408">
        <f t="shared" si="4"/>
        <v>3685.55</v>
      </c>
      <c r="CI23" s="408">
        <f t="shared" si="4"/>
        <v>3685.55</v>
      </c>
      <c r="CJ23" s="408">
        <f t="shared" si="4"/>
        <v>3685.55</v>
      </c>
      <c r="CK23" s="408">
        <f t="shared" si="4"/>
        <v>3685.55</v>
      </c>
      <c r="CL23" s="408">
        <f t="shared" si="4"/>
        <v>3685.55</v>
      </c>
      <c r="CM23" s="408">
        <f t="shared" si="4"/>
        <v>3685.55</v>
      </c>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row>
    <row r="24" spans="1:178">
      <c r="A24" s="1050" t="s">
        <v>314</v>
      </c>
      <c r="B24" s="2" t="s">
        <v>309</v>
      </c>
      <c r="C24" s="362" t="s">
        <v>310</v>
      </c>
      <c r="D24" s="362">
        <v>27.86</v>
      </c>
      <c r="E24" s="58"/>
      <c r="F24" s="382" t="s">
        <v>169</v>
      </c>
      <c r="G24" s="410">
        <f>$D$24*G17/1000</f>
        <v>2550.2811833333335</v>
      </c>
      <c r="H24" s="410">
        <f t="shared" ref="H24:BS24" si="5">$D$24*H17/1000</f>
        <v>2550.2811833333335</v>
      </c>
      <c r="I24" s="410">
        <f t="shared" si="5"/>
        <v>2550.2811833333335</v>
      </c>
      <c r="J24" s="410">
        <f t="shared" si="5"/>
        <v>2550.2811833333335</v>
      </c>
      <c r="K24" s="410">
        <f t="shared" si="5"/>
        <v>2550.2811833333335</v>
      </c>
      <c r="L24" s="410">
        <f t="shared" si="5"/>
        <v>2550.2811833333335</v>
      </c>
      <c r="M24" s="410">
        <f t="shared" si="5"/>
        <v>2550.2811833333335</v>
      </c>
      <c r="N24" s="410">
        <f t="shared" si="5"/>
        <v>2550.2811833333335</v>
      </c>
      <c r="O24" s="410">
        <f t="shared" si="5"/>
        <v>2550.2811833333335</v>
      </c>
      <c r="P24" s="410">
        <f t="shared" si="5"/>
        <v>2550.2811833333335</v>
      </c>
      <c r="Q24" s="410">
        <f t="shared" si="5"/>
        <v>2550.2811833333335</v>
      </c>
      <c r="R24" s="410">
        <f t="shared" si="5"/>
        <v>2550.2811833333335</v>
      </c>
      <c r="S24" s="410">
        <f t="shared" si="5"/>
        <v>2550.2811833333335</v>
      </c>
      <c r="T24" s="410">
        <f t="shared" si="5"/>
        <v>2550.2811833333335</v>
      </c>
      <c r="U24" s="410">
        <f t="shared" si="5"/>
        <v>2550.2811833333335</v>
      </c>
      <c r="V24" s="410">
        <f t="shared" si="5"/>
        <v>2550.2811833333335</v>
      </c>
      <c r="W24" s="410">
        <f t="shared" si="5"/>
        <v>2550.2811833333335</v>
      </c>
      <c r="X24" s="410">
        <f t="shared" si="5"/>
        <v>2550.2811833333335</v>
      </c>
      <c r="Y24" s="410">
        <f t="shared" si="5"/>
        <v>2550.2811833333335</v>
      </c>
      <c r="Z24" s="410">
        <f t="shared" si="5"/>
        <v>2550.2811833333335</v>
      </c>
      <c r="AA24" s="410">
        <f t="shared" si="5"/>
        <v>2550.2811833333335</v>
      </c>
      <c r="AB24" s="410">
        <f t="shared" si="5"/>
        <v>2550.2811833333335</v>
      </c>
      <c r="AC24" s="410">
        <f t="shared" si="5"/>
        <v>2550.2811833333335</v>
      </c>
      <c r="AD24" s="410">
        <f t="shared" si="5"/>
        <v>2550.2811833333335</v>
      </c>
      <c r="AE24" s="410">
        <f t="shared" si="5"/>
        <v>2550.2811833333335</v>
      </c>
      <c r="AF24" s="410">
        <f t="shared" si="5"/>
        <v>2550.2811833333335</v>
      </c>
      <c r="AG24" s="410">
        <f t="shared" si="5"/>
        <v>2550.2811833333335</v>
      </c>
      <c r="AH24" s="410">
        <f t="shared" si="5"/>
        <v>2550.2811833333335</v>
      </c>
      <c r="AI24" s="410">
        <f t="shared" si="5"/>
        <v>2550.2811833333335</v>
      </c>
      <c r="AJ24" s="410">
        <f t="shared" si="5"/>
        <v>2550.2811833333335</v>
      </c>
      <c r="AK24" s="410">
        <f t="shared" si="5"/>
        <v>2550.2811833333335</v>
      </c>
      <c r="AL24" s="410">
        <f t="shared" si="5"/>
        <v>2550.2811833333335</v>
      </c>
      <c r="AM24" s="410">
        <f t="shared" si="5"/>
        <v>2550.2811833333335</v>
      </c>
      <c r="AN24" s="410">
        <f t="shared" si="5"/>
        <v>2550.2811833333335</v>
      </c>
      <c r="AO24" s="410">
        <f t="shared" si="5"/>
        <v>2550.2811833333335</v>
      </c>
      <c r="AP24" s="410">
        <f t="shared" si="5"/>
        <v>2550.2811833333335</v>
      </c>
      <c r="AQ24" s="410">
        <f t="shared" si="5"/>
        <v>2550.2811833333335</v>
      </c>
      <c r="AR24" s="410">
        <f t="shared" si="5"/>
        <v>2550.2811833333335</v>
      </c>
      <c r="AS24" s="410">
        <f t="shared" si="5"/>
        <v>2550.2811833333335</v>
      </c>
      <c r="AT24" s="410">
        <f t="shared" si="5"/>
        <v>2550.2811833333335</v>
      </c>
      <c r="AU24" s="410">
        <f t="shared" si="5"/>
        <v>2550.2811833333335</v>
      </c>
      <c r="AV24" s="410">
        <f t="shared" si="5"/>
        <v>2550.2811833333335</v>
      </c>
      <c r="AW24" s="410">
        <f t="shared" si="5"/>
        <v>2550.2811833333335</v>
      </c>
      <c r="AX24" s="410">
        <f t="shared" si="5"/>
        <v>2550.2811833333335</v>
      </c>
      <c r="AY24" s="410">
        <f t="shared" si="5"/>
        <v>2550.2811833333335</v>
      </c>
      <c r="AZ24" s="410">
        <f t="shared" si="5"/>
        <v>2550.2811833333335</v>
      </c>
      <c r="BA24" s="410">
        <f t="shared" si="5"/>
        <v>2550.2811833333335</v>
      </c>
      <c r="BB24" s="410">
        <f t="shared" si="5"/>
        <v>2550.2811833333335</v>
      </c>
      <c r="BC24" s="410">
        <f t="shared" si="5"/>
        <v>2550.2811833333335</v>
      </c>
      <c r="BD24" s="410">
        <f t="shared" si="5"/>
        <v>2550.2811833333335</v>
      </c>
      <c r="BE24" s="410">
        <f t="shared" si="5"/>
        <v>2550.2811833333335</v>
      </c>
      <c r="BF24" s="410">
        <f t="shared" si="5"/>
        <v>2550.2811833333335</v>
      </c>
      <c r="BG24" s="410">
        <f t="shared" si="5"/>
        <v>2550.2811833333335</v>
      </c>
      <c r="BH24" s="410">
        <f t="shared" si="5"/>
        <v>2550.2811833333335</v>
      </c>
      <c r="BI24" s="410">
        <f t="shared" si="5"/>
        <v>2550.2811833333335</v>
      </c>
      <c r="BJ24" s="410">
        <f t="shared" si="5"/>
        <v>2550.2811833333335</v>
      </c>
      <c r="BK24" s="410">
        <f t="shared" si="5"/>
        <v>2550.2811833333335</v>
      </c>
      <c r="BL24" s="410">
        <f t="shared" si="5"/>
        <v>2550.2811833333335</v>
      </c>
      <c r="BM24" s="410">
        <f t="shared" si="5"/>
        <v>2550.2811833333335</v>
      </c>
      <c r="BN24" s="410">
        <f t="shared" si="5"/>
        <v>2550.2811833333335</v>
      </c>
      <c r="BO24" s="410">
        <f t="shared" si="5"/>
        <v>2550.2811833333335</v>
      </c>
      <c r="BP24" s="410">
        <f t="shared" si="5"/>
        <v>2550.2811833333335</v>
      </c>
      <c r="BQ24" s="410">
        <f t="shared" si="5"/>
        <v>2550.2811833333335</v>
      </c>
      <c r="BR24" s="410">
        <f t="shared" si="5"/>
        <v>2550.2811833333335</v>
      </c>
      <c r="BS24" s="410">
        <f t="shared" si="5"/>
        <v>2550.2811833333335</v>
      </c>
      <c r="BT24" s="410">
        <f t="shared" ref="BT24:CM24" si="6">$D$24*BT17/1000</f>
        <v>2550.2811833333335</v>
      </c>
      <c r="BU24" s="410">
        <f t="shared" si="6"/>
        <v>2550.2811833333335</v>
      </c>
      <c r="BV24" s="410">
        <f t="shared" si="6"/>
        <v>2550.2811833333335</v>
      </c>
      <c r="BW24" s="410">
        <f t="shared" si="6"/>
        <v>2550.2811833333335</v>
      </c>
      <c r="BX24" s="410">
        <f t="shared" si="6"/>
        <v>2550.2811833333335</v>
      </c>
      <c r="BY24" s="410">
        <f t="shared" si="6"/>
        <v>2550.2811833333335</v>
      </c>
      <c r="BZ24" s="410">
        <f t="shared" si="6"/>
        <v>2550.2811833333335</v>
      </c>
      <c r="CA24" s="410">
        <f t="shared" si="6"/>
        <v>2550.2811833333335</v>
      </c>
      <c r="CB24" s="410">
        <f t="shared" si="6"/>
        <v>2550.2811833333335</v>
      </c>
      <c r="CC24" s="410">
        <f t="shared" si="6"/>
        <v>2550.2811833333335</v>
      </c>
      <c r="CD24" s="410">
        <f t="shared" si="6"/>
        <v>2550.2811833333335</v>
      </c>
      <c r="CE24" s="410">
        <f t="shared" si="6"/>
        <v>2550.2811833333335</v>
      </c>
      <c r="CF24" s="410">
        <f t="shared" si="6"/>
        <v>2550.2811833333335</v>
      </c>
      <c r="CG24" s="410">
        <f t="shared" si="6"/>
        <v>2550.2811833333335</v>
      </c>
      <c r="CH24" s="410">
        <f t="shared" si="6"/>
        <v>2550.2811833333335</v>
      </c>
      <c r="CI24" s="410">
        <f t="shared" si="6"/>
        <v>2550.2811833333335</v>
      </c>
      <c r="CJ24" s="410">
        <f t="shared" si="6"/>
        <v>2550.2811833333335</v>
      </c>
      <c r="CK24" s="410">
        <f t="shared" si="6"/>
        <v>2550.2811833333335</v>
      </c>
      <c r="CL24" s="410">
        <f t="shared" si="6"/>
        <v>2550.2811833333335</v>
      </c>
      <c r="CM24" s="410">
        <f t="shared" si="6"/>
        <v>2550.2811833333335</v>
      </c>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row>
    <row r="25" spans="1:178">
      <c r="A25" s="1050"/>
      <c r="B25" s="2" t="s">
        <v>309</v>
      </c>
      <c r="C25" s="362" t="s">
        <v>310</v>
      </c>
      <c r="D25" s="362">
        <v>0.23</v>
      </c>
      <c r="E25" s="58"/>
      <c r="F25" s="382" t="s">
        <v>170</v>
      </c>
      <c r="G25" s="410">
        <f>$D$25*G14</f>
        <v>5194.166666666667</v>
      </c>
      <c r="H25" s="410">
        <f t="shared" ref="H25:BS25" si="7">$D$25*H14</f>
        <v>5194.166666666667</v>
      </c>
      <c r="I25" s="410">
        <f t="shared" si="7"/>
        <v>5194.166666666667</v>
      </c>
      <c r="J25" s="410">
        <f t="shared" si="7"/>
        <v>5194.166666666667</v>
      </c>
      <c r="K25" s="410">
        <f t="shared" si="7"/>
        <v>5194.166666666667</v>
      </c>
      <c r="L25" s="410">
        <f t="shared" si="7"/>
        <v>5194.166666666667</v>
      </c>
      <c r="M25" s="410">
        <f t="shared" si="7"/>
        <v>5194.166666666667</v>
      </c>
      <c r="N25" s="410">
        <f t="shared" si="7"/>
        <v>5194.166666666667</v>
      </c>
      <c r="O25" s="410">
        <f t="shared" si="7"/>
        <v>5194.166666666667</v>
      </c>
      <c r="P25" s="410">
        <f t="shared" si="7"/>
        <v>5194.166666666667</v>
      </c>
      <c r="Q25" s="410">
        <f t="shared" si="7"/>
        <v>5194.166666666667</v>
      </c>
      <c r="R25" s="410">
        <f t="shared" si="7"/>
        <v>5194.166666666667</v>
      </c>
      <c r="S25" s="410">
        <f t="shared" si="7"/>
        <v>5194.166666666667</v>
      </c>
      <c r="T25" s="410">
        <f t="shared" si="7"/>
        <v>5194.166666666667</v>
      </c>
      <c r="U25" s="410">
        <f t="shared" si="7"/>
        <v>5194.166666666667</v>
      </c>
      <c r="V25" s="410">
        <f t="shared" si="7"/>
        <v>5194.166666666667</v>
      </c>
      <c r="W25" s="410">
        <f t="shared" si="7"/>
        <v>5194.166666666667</v>
      </c>
      <c r="X25" s="410">
        <f t="shared" si="7"/>
        <v>5194.166666666667</v>
      </c>
      <c r="Y25" s="410">
        <f t="shared" si="7"/>
        <v>5194.166666666667</v>
      </c>
      <c r="Z25" s="410">
        <f t="shared" si="7"/>
        <v>5194.166666666667</v>
      </c>
      <c r="AA25" s="410">
        <f t="shared" si="7"/>
        <v>5194.166666666667</v>
      </c>
      <c r="AB25" s="410">
        <f t="shared" si="7"/>
        <v>5194.166666666667</v>
      </c>
      <c r="AC25" s="410">
        <f t="shared" si="7"/>
        <v>5194.166666666667</v>
      </c>
      <c r="AD25" s="410">
        <f t="shared" si="7"/>
        <v>5194.166666666667</v>
      </c>
      <c r="AE25" s="410">
        <f t="shared" si="7"/>
        <v>5194.166666666667</v>
      </c>
      <c r="AF25" s="410">
        <f t="shared" si="7"/>
        <v>5194.166666666667</v>
      </c>
      <c r="AG25" s="410">
        <f t="shared" si="7"/>
        <v>5194.166666666667</v>
      </c>
      <c r="AH25" s="410">
        <f t="shared" si="7"/>
        <v>5194.166666666667</v>
      </c>
      <c r="AI25" s="410">
        <f t="shared" si="7"/>
        <v>5194.166666666667</v>
      </c>
      <c r="AJ25" s="410">
        <f t="shared" si="7"/>
        <v>5194.166666666667</v>
      </c>
      <c r="AK25" s="410">
        <f t="shared" si="7"/>
        <v>5194.166666666667</v>
      </c>
      <c r="AL25" s="410">
        <f t="shared" si="7"/>
        <v>5194.166666666667</v>
      </c>
      <c r="AM25" s="410">
        <f t="shared" si="7"/>
        <v>5194.166666666667</v>
      </c>
      <c r="AN25" s="410">
        <f t="shared" si="7"/>
        <v>5194.166666666667</v>
      </c>
      <c r="AO25" s="410">
        <f t="shared" si="7"/>
        <v>5194.166666666667</v>
      </c>
      <c r="AP25" s="410">
        <f t="shared" si="7"/>
        <v>5194.166666666667</v>
      </c>
      <c r="AQ25" s="410">
        <f t="shared" si="7"/>
        <v>5194.166666666667</v>
      </c>
      <c r="AR25" s="410">
        <f t="shared" si="7"/>
        <v>5194.166666666667</v>
      </c>
      <c r="AS25" s="410">
        <f t="shared" si="7"/>
        <v>5194.166666666667</v>
      </c>
      <c r="AT25" s="410">
        <f t="shared" si="7"/>
        <v>5194.166666666667</v>
      </c>
      <c r="AU25" s="410">
        <f t="shared" si="7"/>
        <v>5194.166666666667</v>
      </c>
      <c r="AV25" s="410">
        <f t="shared" si="7"/>
        <v>5194.166666666667</v>
      </c>
      <c r="AW25" s="410">
        <f t="shared" si="7"/>
        <v>5194.166666666667</v>
      </c>
      <c r="AX25" s="410">
        <f t="shared" si="7"/>
        <v>5194.166666666667</v>
      </c>
      <c r="AY25" s="410">
        <f t="shared" si="7"/>
        <v>5194.166666666667</v>
      </c>
      <c r="AZ25" s="410">
        <f t="shared" si="7"/>
        <v>5194.166666666667</v>
      </c>
      <c r="BA25" s="410">
        <f t="shared" si="7"/>
        <v>5194.166666666667</v>
      </c>
      <c r="BB25" s="410">
        <f t="shared" si="7"/>
        <v>5194.166666666667</v>
      </c>
      <c r="BC25" s="410">
        <f t="shared" si="7"/>
        <v>5194.166666666667</v>
      </c>
      <c r="BD25" s="410">
        <f t="shared" si="7"/>
        <v>5194.166666666667</v>
      </c>
      <c r="BE25" s="410">
        <f t="shared" si="7"/>
        <v>5194.166666666667</v>
      </c>
      <c r="BF25" s="410">
        <f t="shared" si="7"/>
        <v>5194.166666666667</v>
      </c>
      <c r="BG25" s="410">
        <f t="shared" si="7"/>
        <v>5194.166666666667</v>
      </c>
      <c r="BH25" s="410">
        <f t="shared" si="7"/>
        <v>5194.166666666667</v>
      </c>
      <c r="BI25" s="410">
        <f t="shared" si="7"/>
        <v>5194.166666666667</v>
      </c>
      <c r="BJ25" s="410">
        <f t="shared" si="7"/>
        <v>5194.166666666667</v>
      </c>
      <c r="BK25" s="410">
        <f t="shared" si="7"/>
        <v>5194.166666666667</v>
      </c>
      <c r="BL25" s="410">
        <f t="shared" si="7"/>
        <v>5194.166666666667</v>
      </c>
      <c r="BM25" s="410">
        <f t="shared" si="7"/>
        <v>5194.166666666667</v>
      </c>
      <c r="BN25" s="410">
        <f t="shared" si="7"/>
        <v>5194.166666666667</v>
      </c>
      <c r="BO25" s="410">
        <f t="shared" si="7"/>
        <v>5194.166666666667</v>
      </c>
      <c r="BP25" s="410">
        <f t="shared" si="7"/>
        <v>5194.166666666667</v>
      </c>
      <c r="BQ25" s="410">
        <f t="shared" si="7"/>
        <v>5194.166666666667</v>
      </c>
      <c r="BR25" s="410">
        <f t="shared" si="7"/>
        <v>5194.166666666667</v>
      </c>
      <c r="BS25" s="410">
        <f t="shared" si="7"/>
        <v>5194.166666666667</v>
      </c>
      <c r="BT25" s="410">
        <f t="shared" ref="BT25:CM25" si="8">$D$25*BT14</f>
        <v>5194.166666666667</v>
      </c>
      <c r="BU25" s="410">
        <f t="shared" si="8"/>
        <v>5194.166666666667</v>
      </c>
      <c r="BV25" s="410">
        <f t="shared" si="8"/>
        <v>5194.166666666667</v>
      </c>
      <c r="BW25" s="410">
        <f t="shared" si="8"/>
        <v>5194.166666666667</v>
      </c>
      <c r="BX25" s="410">
        <f t="shared" si="8"/>
        <v>5194.166666666667</v>
      </c>
      <c r="BY25" s="410">
        <f t="shared" si="8"/>
        <v>5194.166666666667</v>
      </c>
      <c r="BZ25" s="410">
        <f t="shared" si="8"/>
        <v>5194.166666666667</v>
      </c>
      <c r="CA25" s="410">
        <f t="shared" si="8"/>
        <v>5194.166666666667</v>
      </c>
      <c r="CB25" s="410">
        <f t="shared" si="8"/>
        <v>5194.166666666667</v>
      </c>
      <c r="CC25" s="410">
        <f t="shared" si="8"/>
        <v>5194.166666666667</v>
      </c>
      <c r="CD25" s="410">
        <f t="shared" si="8"/>
        <v>5194.166666666667</v>
      </c>
      <c r="CE25" s="410">
        <f t="shared" si="8"/>
        <v>5194.166666666667</v>
      </c>
      <c r="CF25" s="410">
        <f t="shared" si="8"/>
        <v>5194.166666666667</v>
      </c>
      <c r="CG25" s="410">
        <f t="shared" si="8"/>
        <v>5194.166666666667</v>
      </c>
      <c r="CH25" s="410">
        <f t="shared" si="8"/>
        <v>5194.166666666667</v>
      </c>
      <c r="CI25" s="410">
        <f t="shared" si="8"/>
        <v>5194.166666666667</v>
      </c>
      <c r="CJ25" s="410">
        <f t="shared" si="8"/>
        <v>5194.166666666667</v>
      </c>
      <c r="CK25" s="410">
        <f t="shared" si="8"/>
        <v>5194.166666666667</v>
      </c>
      <c r="CL25" s="410">
        <f t="shared" si="8"/>
        <v>5194.166666666667</v>
      </c>
      <c r="CM25" s="410">
        <f t="shared" si="8"/>
        <v>5194.166666666667</v>
      </c>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row>
    <row r="26" spans="1:178">
      <c r="A26" s="1050"/>
      <c r="B26" s="2" t="s">
        <v>309</v>
      </c>
      <c r="C26" s="362" t="s">
        <v>310</v>
      </c>
      <c r="D26" s="362">
        <v>0.26500000000000001</v>
      </c>
      <c r="E26" s="58"/>
      <c r="F26" s="382" t="s">
        <v>171</v>
      </c>
      <c r="G26" s="410">
        <f>$D$26*G15</f>
        <v>3687.9166666666665</v>
      </c>
      <c r="H26" s="410">
        <f t="shared" ref="H26:BS26" si="9">$D$26*H15</f>
        <v>3687.9166666666665</v>
      </c>
      <c r="I26" s="410">
        <f t="shared" si="9"/>
        <v>3687.9166666666665</v>
      </c>
      <c r="J26" s="410">
        <f t="shared" si="9"/>
        <v>3687.9166666666665</v>
      </c>
      <c r="K26" s="410">
        <f t="shared" si="9"/>
        <v>3687.9166666666665</v>
      </c>
      <c r="L26" s="410">
        <f t="shared" si="9"/>
        <v>3687.9166666666665</v>
      </c>
      <c r="M26" s="410">
        <f t="shared" si="9"/>
        <v>3687.9166666666665</v>
      </c>
      <c r="N26" s="410">
        <f t="shared" si="9"/>
        <v>3687.9166666666665</v>
      </c>
      <c r="O26" s="410">
        <f t="shared" si="9"/>
        <v>3687.9166666666665</v>
      </c>
      <c r="P26" s="410">
        <f t="shared" si="9"/>
        <v>3687.9166666666665</v>
      </c>
      <c r="Q26" s="410">
        <f t="shared" si="9"/>
        <v>3687.9166666666665</v>
      </c>
      <c r="R26" s="410">
        <f t="shared" si="9"/>
        <v>3687.9166666666665</v>
      </c>
      <c r="S26" s="410">
        <f t="shared" si="9"/>
        <v>3687.9166666666665</v>
      </c>
      <c r="T26" s="410">
        <f t="shared" si="9"/>
        <v>3687.9166666666665</v>
      </c>
      <c r="U26" s="410">
        <f t="shared" si="9"/>
        <v>3687.9166666666665</v>
      </c>
      <c r="V26" s="410">
        <f t="shared" si="9"/>
        <v>3687.9166666666665</v>
      </c>
      <c r="W26" s="410">
        <f t="shared" si="9"/>
        <v>3687.9166666666665</v>
      </c>
      <c r="X26" s="410">
        <f t="shared" si="9"/>
        <v>3687.9166666666665</v>
      </c>
      <c r="Y26" s="410">
        <f t="shared" si="9"/>
        <v>3687.9166666666665</v>
      </c>
      <c r="Z26" s="410">
        <f t="shared" si="9"/>
        <v>3687.9166666666665</v>
      </c>
      <c r="AA26" s="410">
        <f t="shared" si="9"/>
        <v>3687.9166666666665</v>
      </c>
      <c r="AB26" s="410">
        <f t="shared" si="9"/>
        <v>3687.9166666666665</v>
      </c>
      <c r="AC26" s="410">
        <f t="shared" si="9"/>
        <v>3687.9166666666665</v>
      </c>
      <c r="AD26" s="410">
        <f t="shared" si="9"/>
        <v>3687.9166666666665</v>
      </c>
      <c r="AE26" s="410">
        <f t="shared" si="9"/>
        <v>3687.9166666666665</v>
      </c>
      <c r="AF26" s="410">
        <f t="shared" si="9"/>
        <v>3687.9166666666665</v>
      </c>
      <c r="AG26" s="410">
        <f t="shared" si="9"/>
        <v>3687.9166666666665</v>
      </c>
      <c r="AH26" s="410">
        <f t="shared" si="9"/>
        <v>3687.9166666666665</v>
      </c>
      <c r="AI26" s="410">
        <f t="shared" si="9"/>
        <v>3687.9166666666665</v>
      </c>
      <c r="AJ26" s="410">
        <f t="shared" si="9"/>
        <v>3687.9166666666665</v>
      </c>
      <c r="AK26" s="410">
        <f t="shared" si="9"/>
        <v>3687.9166666666665</v>
      </c>
      <c r="AL26" s="410">
        <f t="shared" si="9"/>
        <v>3687.9166666666665</v>
      </c>
      <c r="AM26" s="410">
        <f t="shared" si="9"/>
        <v>3687.9166666666665</v>
      </c>
      <c r="AN26" s="410">
        <f t="shared" si="9"/>
        <v>3687.9166666666665</v>
      </c>
      <c r="AO26" s="410">
        <f t="shared" si="9"/>
        <v>3687.9166666666665</v>
      </c>
      <c r="AP26" s="410">
        <f t="shared" si="9"/>
        <v>3687.9166666666665</v>
      </c>
      <c r="AQ26" s="410">
        <f t="shared" si="9"/>
        <v>3687.9166666666665</v>
      </c>
      <c r="AR26" s="410">
        <f t="shared" si="9"/>
        <v>3687.9166666666665</v>
      </c>
      <c r="AS26" s="410">
        <f t="shared" si="9"/>
        <v>3687.9166666666665</v>
      </c>
      <c r="AT26" s="410">
        <f t="shared" si="9"/>
        <v>3687.9166666666665</v>
      </c>
      <c r="AU26" s="410">
        <f t="shared" si="9"/>
        <v>3687.9166666666665</v>
      </c>
      <c r="AV26" s="410">
        <f t="shared" si="9"/>
        <v>3687.9166666666665</v>
      </c>
      <c r="AW26" s="410">
        <f t="shared" si="9"/>
        <v>3687.9166666666665</v>
      </c>
      <c r="AX26" s="410">
        <f t="shared" si="9"/>
        <v>3687.9166666666665</v>
      </c>
      <c r="AY26" s="410">
        <f t="shared" si="9"/>
        <v>3687.9166666666665</v>
      </c>
      <c r="AZ26" s="410">
        <f t="shared" si="9"/>
        <v>3687.9166666666665</v>
      </c>
      <c r="BA26" s="410">
        <f t="shared" si="9"/>
        <v>3687.9166666666665</v>
      </c>
      <c r="BB26" s="410">
        <f t="shared" si="9"/>
        <v>3687.9166666666665</v>
      </c>
      <c r="BC26" s="410">
        <f t="shared" si="9"/>
        <v>3687.9166666666665</v>
      </c>
      <c r="BD26" s="410">
        <f t="shared" si="9"/>
        <v>3687.9166666666665</v>
      </c>
      <c r="BE26" s="410">
        <f t="shared" si="9"/>
        <v>3687.9166666666665</v>
      </c>
      <c r="BF26" s="410">
        <f t="shared" si="9"/>
        <v>3687.9166666666665</v>
      </c>
      <c r="BG26" s="410">
        <f t="shared" si="9"/>
        <v>3687.9166666666665</v>
      </c>
      <c r="BH26" s="410">
        <f t="shared" si="9"/>
        <v>3687.9166666666665</v>
      </c>
      <c r="BI26" s="410">
        <f t="shared" si="9"/>
        <v>3687.9166666666665</v>
      </c>
      <c r="BJ26" s="410">
        <f t="shared" si="9"/>
        <v>3687.9166666666665</v>
      </c>
      <c r="BK26" s="410">
        <f t="shared" si="9"/>
        <v>3687.9166666666665</v>
      </c>
      <c r="BL26" s="410">
        <f t="shared" si="9"/>
        <v>3687.9166666666665</v>
      </c>
      <c r="BM26" s="410">
        <f t="shared" si="9"/>
        <v>3687.9166666666665</v>
      </c>
      <c r="BN26" s="410">
        <f t="shared" si="9"/>
        <v>3687.9166666666665</v>
      </c>
      <c r="BO26" s="410">
        <f t="shared" si="9"/>
        <v>3687.9166666666665</v>
      </c>
      <c r="BP26" s="410">
        <f t="shared" si="9"/>
        <v>3687.9166666666665</v>
      </c>
      <c r="BQ26" s="410">
        <f t="shared" si="9"/>
        <v>3687.9166666666665</v>
      </c>
      <c r="BR26" s="410">
        <f t="shared" si="9"/>
        <v>3687.9166666666665</v>
      </c>
      <c r="BS26" s="410">
        <f t="shared" si="9"/>
        <v>3687.9166666666665</v>
      </c>
      <c r="BT26" s="410">
        <f t="shared" ref="BT26:CM26" si="10">$D$26*BT15</f>
        <v>3687.9166666666665</v>
      </c>
      <c r="BU26" s="410">
        <f t="shared" si="10"/>
        <v>3687.9166666666665</v>
      </c>
      <c r="BV26" s="410">
        <f t="shared" si="10"/>
        <v>3687.9166666666665</v>
      </c>
      <c r="BW26" s="410">
        <f t="shared" si="10"/>
        <v>3687.9166666666665</v>
      </c>
      <c r="BX26" s="410">
        <f t="shared" si="10"/>
        <v>3687.9166666666665</v>
      </c>
      <c r="BY26" s="410">
        <f t="shared" si="10"/>
        <v>3687.9166666666665</v>
      </c>
      <c r="BZ26" s="410">
        <f t="shared" si="10"/>
        <v>3687.9166666666665</v>
      </c>
      <c r="CA26" s="410">
        <f t="shared" si="10"/>
        <v>3687.9166666666665</v>
      </c>
      <c r="CB26" s="410">
        <f t="shared" si="10"/>
        <v>3687.9166666666665</v>
      </c>
      <c r="CC26" s="410">
        <f t="shared" si="10"/>
        <v>3687.9166666666665</v>
      </c>
      <c r="CD26" s="410">
        <f t="shared" si="10"/>
        <v>3687.9166666666665</v>
      </c>
      <c r="CE26" s="410">
        <f t="shared" si="10"/>
        <v>3687.9166666666665</v>
      </c>
      <c r="CF26" s="410">
        <f t="shared" si="10"/>
        <v>3687.9166666666665</v>
      </c>
      <c r="CG26" s="410">
        <f t="shared" si="10"/>
        <v>3687.9166666666665</v>
      </c>
      <c r="CH26" s="410">
        <f t="shared" si="10"/>
        <v>3687.9166666666665</v>
      </c>
      <c r="CI26" s="410">
        <f t="shared" si="10"/>
        <v>3687.9166666666665</v>
      </c>
      <c r="CJ26" s="410">
        <f t="shared" si="10"/>
        <v>3687.9166666666665</v>
      </c>
      <c r="CK26" s="410">
        <f t="shared" si="10"/>
        <v>3687.9166666666665</v>
      </c>
      <c r="CL26" s="410">
        <f t="shared" si="10"/>
        <v>3687.9166666666665</v>
      </c>
      <c r="CM26" s="410">
        <f t="shared" si="10"/>
        <v>3687.9166666666665</v>
      </c>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row>
    <row r="27" spans="1:178">
      <c r="A27" s="1050"/>
      <c r="B27" s="2" t="s">
        <v>309</v>
      </c>
      <c r="C27" s="362" t="s">
        <v>310</v>
      </c>
      <c r="D27" s="362">
        <v>0.18049999999999999</v>
      </c>
      <c r="E27" s="58"/>
      <c r="F27" s="382" t="s">
        <v>172</v>
      </c>
      <c r="G27" s="410">
        <f>$D$27*G16</f>
        <v>22562.5</v>
      </c>
      <c r="H27" s="410">
        <f t="shared" ref="H27:BS27" si="11">$D$27*H16</f>
        <v>22562.5</v>
      </c>
      <c r="I27" s="410">
        <f t="shared" si="11"/>
        <v>22562.5</v>
      </c>
      <c r="J27" s="410">
        <f t="shared" si="11"/>
        <v>22562.5</v>
      </c>
      <c r="K27" s="410">
        <f t="shared" si="11"/>
        <v>22562.5</v>
      </c>
      <c r="L27" s="410">
        <f t="shared" si="11"/>
        <v>22562.5</v>
      </c>
      <c r="M27" s="410">
        <f t="shared" si="11"/>
        <v>22562.5</v>
      </c>
      <c r="N27" s="410">
        <f t="shared" si="11"/>
        <v>22562.5</v>
      </c>
      <c r="O27" s="410">
        <f t="shared" si="11"/>
        <v>22562.5</v>
      </c>
      <c r="P27" s="410">
        <f t="shared" si="11"/>
        <v>22562.5</v>
      </c>
      <c r="Q27" s="410">
        <f t="shared" si="11"/>
        <v>22562.5</v>
      </c>
      <c r="R27" s="410">
        <f t="shared" si="11"/>
        <v>22562.5</v>
      </c>
      <c r="S27" s="410">
        <f t="shared" si="11"/>
        <v>22562.5</v>
      </c>
      <c r="T27" s="410">
        <f t="shared" si="11"/>
        <v>22562.5</v>
      </c>
      <c r="U27" s="410">
        <f t="shared" si="11"/>
        <v>22562.5</v>
      </c>
      <c r="V27" s="410">
        <f t="shared" si="11"/>
        <v>22562.5</v>
      </c>
      <c r="W27" s="410">
        <f t="shared" si="11"/>
        <v>22562.5</v>
      </c>
      <c r="X27" s="410">
        <f t="shared" si="11"/>
        <v>22562.5</v>
      </c>
      <c r="Y27" s="410">
        <f t="shared" si="11"/>
        <v>22562.5</v>
      </c>
      <c r="Z27" s="410">
        <f t="shared" si="11"/>
        <v>22562.5</v>
      </c>
      <c r="AA27" s="410">
        <f t="shared" si="11"/>
        <v>22562.5</v>
      </c>
      <c r="AB27" s="410">
        <f t="shared" si="11"/>
        <v>22562.5</v>
      </c>
      <c r="AC27" s="410">
        <f t="shared" si="11"/>
        <v>22562.5</v>
      </c>
      <c r="AD27" s="410">
        <f t="shared" si="11"/>
        <v>22562.5</v>
      </c>
      <c r="AE27" s="410">
        <f t="shared" si="11"/>
        <v>22562.5</v>
      </c>
      <c r="AF27" s="410">
        <f t="shared" si="11"/>
        <v>22562.5</v>
      </c>
      <c r="AG27" s="410">
        <f t="shared" si="11"/>
        <v>22562.5</v>
      </c>
      <c r="AH27" s="410">
        <f t="shared" si="11"/>
        <v>22562.5</v>
      </c>
      <c r="AI27" s="410">
        <f t="shared" si="11"/>
        <v>22562.5</v>
      </c>
      <c r="AJ27" s="410">
        <f t="shared" si="11"/>
        <v>22562.5</v>
      </c>
      <c r="AK27" s="410">
        <f t="shared" si="11"/>
        <v>22562.5</v>
      </c>
      <c r="AL27" s="410">
        <f t="shared" si="11"/>
        <v>22562.5</v>
      </c>
      <c r="AM27" s="410">
        <f t="shared" si="11"/>
        <v>22562.5</v>
      </c>
      <c r="AN27" s="410">
        <f t="shared" si="11"/>
        <v>22562.5</v>
      </c>
      <c r="AO27" s="410">
        <f t="shared" si="11"/>
        <v>22562.5</v>
      </c>
      <c r="AP27" s="410">
        <f t="shared" si="11"/>
        <v>22562.5</v>
      </c>
      <c r="AQ27" s="410">
        <f t="shared" si="11"/>
        <v>22562.5</v>
      </c>
      <c r="AR27" s="410">
        <f t="shared" si="11"/>
        <v>22562.5</v>
      </c>
      <c r="AS27" s="410">
        <f t="shared" si="11"/>
        <v>22562.5</v>
      </c>
      <c r="AT27" s="410">
        <f t="shared" si="11"/>
        <v>22562.5</v>
      </c>
      <c r="AU27" s="410">
        <f t="shared" si="11"/>
        <v>22562.5</v>
      </c>
      <c r="AV27" s="410">
        <f t="shared" si="11"/>
        <v>22562.5</v>
      </c>
      <c r="AW27" s="410">
        <f t="shared" si="11"/>
        <v>22562.5</v>
      </c>
      <c r="AX27" s="410">
        <f t="shared" si="11"/>
        <v>22562.5</v>
      </c>
      <c r="AY27" s="410">
        <f t="shared" si="11"/>
        <v>22562.5</v>
      </c>
      <c r="AZ27" s="410">
        <f t="shared" si="11"/>
        <v>22562.5</v>
      </c>
      <c r="BA27" s="410">
        <f t="shared" si="11"/>
        <v>22562.5</v>
      </c>
      <c r="BB27" s="410">
        <f t="shared" si="11"/>
        <v>22562.5</v>
      </c>
      <c r="BC27" s="410">
        <f t="shared" si="11"/>
        <v>22562.5</v>
      </c>
      <c r="BD27" s="410">
        <f t="shared" si="11"/>
        <v>22562.5</v>
      </c>
      <c r="BE27" s="410">
        <f t="shared" si="11"/>
        <v>22562.5</v>
      </c>
      <c r="BF27" s="410">
        <f t="shared" si="11"/>
        <v>22562.5</v>
      </c>
      <c r="BG27" s="410">
        <f t="shared" si="11"/>
        <v>22562.5</v>
      </c>
      <c r="BH27" s="410">
        <f t="shared" si="11"/>
        <v>22562.5</v>
      </c>
      <c r="BI27" s="410">
        <f t="shared" si="11"/>
        <v>22562.5</v>
      </c>
      <c r="BJ27" s="410">
        <f t="shared" si="11"/>
        <v>22562.5</v>
      </c>
      <c r="BK27" s="410">
        <f t="shared" si="11"/>
        <v>22562.5</v>
      </c>
      <c r="BL27" s="410">
        <f t="shared" si="11"/>
        <v>22562.5</v>
      </c>
      <c r="BM27" s="410">
        <f t="shared" si="11"/>
        <v>22562.5</v>
      </c>
      <c r="BN27" s="410">
        <f t="shared" si="11"/>
        <v>22562.5</v>
      </c>
      <c r="BO27" s="410">
        <f t="shared" si="11"/>
        <v>22562.5</v>
      </c>
      <c r="BP27" s="410">
        <f t="shared" si="11"/>
        <v>22562.5</v>
      </c>
      <c r="BQ27" s="410">
        <f t="shared" si="11"/>
        <v>22562.5</v>
      </c>
      <c r="BR27" s="410">
        <f t="shared" si="11"/>
        <v>22562.5</v>
      </c>
      <c r="BS27" s="410">
        <f t="shared" si="11"/>
        <v>22562.5</v>
      </c>
      <c r="BT27" s="410">
        <f t="shared" ref="BT27:CM27" si="12">$D$27*BT16</f>
        <v>22562.5</v>
      </c>
      <c r="BU27" s="410">
        <f t="shared" si="12"/>
        <v>22562.5</v>
      </c>
      <c r="BV27" s="410">
        <f t="shared" si="12"/>
        <v>22562.5</v>
      </c>
      <c r="BW27" s="410">
        <f t="shared" si="12"/>
        <v>22562.5</v>
      </c>
      <c r="BX27" s="410">
        <f t="shared" si="12"/>
        <v>22562.5</v>
      </c>
      <c r="BY27" s="410">
        <f t="shared" si="12"/>
        <v>22562.5</v>
      </c>
      <c r="BZ27" s="410">
        <f t="shared" si="12"/>
        <v>22562.5</v>
      </c>
      <c r="CA27" s="410">
        <f t="shared" si="12"/>
        <v>22562.5</v>
      </c>
      <c r="CB27" s="410">
        <f t="shared" si="12"/>
        <v>22562.5</v>
      </c>
      <c r="CC27" s="410">
        <f t="shared" si="12"/>
        <v>22562.5</v>
      </c>
      <c r="CD27" s="410">
        <f t="shared" si="12"/>
        <v>22562.5</v>
      </c>
      <c r="CE27" s="410">
        <f t="shared" si="12"/>
        <v>22562.5</v>
      </c>
      <c r="CF27" s="410">
        <f t="shared" si="12"/>
        <v>22562.5</v>
      </c>
      <c r="CG27" s="410">
        <f t="shared" si="12"/>
        <v>22562.5</v>
      </c>
      <c r="CH27" s="410">
        <f t="shared" si="12"/>
        <v>22562.5</v>
      </c>
      <c r="CI27" s="410">
        <f t="shared" si="12"/>
        <v>22562.5</v>
      </c>
      <c r="CJ27" s="410">
        <f t="shared" si="12"/>
        <v>22562.5</v>
      </c>
      <c r="CK27" s="410">
        <f t="shared" si="12"/>
        <v>22562.5</v>
      </c>
      <c r="CL27" s="410">
        <f t="shared" si="12"/>
        <v>22562.5</v>
      </c>
      <c r="CM27" s="410">
        <f t="shared" si="12"/>
        <v>22562.5</v>
      </c>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row>
    <row r="28" spans="1:178">
      <c r="A28" s="1050"/>
      <c r="B28" s="2" t="s">
        <v>309</v>
      </c>
      <c r="C28" s="362" t="s">
        <v>310</v>
      </c>
      <c r="D28" s="362">
        <v>1.8104</v>
      </c>
      <c r="E28" s="58"/>
      <c r="F28" s="382" t="s">
        <v>173</v>
      </c>
      <c r="G28" s="410">
        <v>200391.36559999999</v>
      </c>
      <c r="H28" s="410">
        <v>200391.36559999999</v>
      </c>
      <c r="I28" s="410">
        <v>200391.36559999999</v>
      </c>
      <c r="J28" s="410">
        <v>200391.36559999999</v>
      </c>
      <c r="K28" s="410">
        <v>200391.36559999999</v>
      </c>
      <c r="L28" s="410">
        <v>200391.36559999999</v>
      </c>
      <c r="M28" s="410">
        <v>200391.36559999999</v>
      </c>
      <c r="N28" s="410">
        <v>200391.36559999999</v>
      </c>
      <c r="O28" s="410">
        <v>200391.36559999999</v>
      </c>
      <c r="P28" s="410">
        <v>200391.36559999999</v>
      </c>
      <c r="Q28" s="410">
        <v>200391.36559999999</v>
      </c>
      <c r="R28" s="410">
        <v>200391.36559999999</v>
      </c>
      <c r="S28" s="410">
        <v>200391.36559999999</v>
      </c>
      <c r="T28" s="411">
        <f t="shared" ref="T28:AS28" si="13">$D$28*T17</f>
        <v>165722.50733333334</v>
      </c>
      <c r="U28" s="410">
        <f t="shared" si="13"/>
        <v>165722.50733333334</v>
      </c>
      <c r="V28" s="411">
        <f t="shared" si="13"/>
        <v>165722.50733333334</v>
      </c>
      <c r="W28" s="410">
        <f t="shared" si="13"/>
        <v>165722.50733333334</v>
      </c>
      <c r="X28" s="411">
        <f t="shared" si="13"/>
        <v>165722.50733333334</v>
      </c>
      <c r="Y28" s="410">
        <f t="shared" si="13"/>
        <v>165722.50733333334</v>
      </c>
      <c r="Z28" s="411">
        <f t="shared" si="13"/>
        <v>165722.50733333334</v>
      </c>
      <c r="AA28" s="410">
        <f t="shared" si="13"/>
        <v>165722.50733333334</v>
      </c>
      <c r="AB28" s="411">
        <f t="shared" si="13"/>
        <v>165722.50733333334</v>
      </c>
      <c r="AC28" s="410">
        <f t="shared" si="13"/>
        <v>165722.50733333334</v>
      </c>
      <c r="AD28" s="411">
        <f t="shared" si="13"/>
        <v>165722.50733333334</v>
      </c>
      <c r="AE28" s="410">
        <f t="shared" si="13"/>
        <v>165722.50733333334</v>
      </c>
      <c r="AF28" s="411">
        <f t="shared" si="13"/>
        <v>165722.50733333334</v>
      </c>
      <c r="AG28" s="410">
        <f t="shared" si="13"/>
        <v>165722.50733333334</v>
      </c>
      <c r="AH28" s="411">
        <f t="shared" si="13"/>
        <v>165722.50733333334</v>
      </c>
      <c r="AI28" s="410">
        <f t="shared" si="13"/>
        <v>165722.50733333334</v>
      </c>
      <c r="AJ28" s="411">
        <f t="shared" si="13"/>
        <v>165722.50733333334</v>
      </c>
      <c r="AK28" s="410">
        <f t="shared" si="13"/>
        <v>165722.50733333334</v>
      </c>
      <c r="AL28" s="411">
        <f t="shared" si="13"/>
        <v>165722.50733333334</v>
      </c>
      <c r="AM28" s="410">
        <f t="shared" si="13"/>
        <v>165722.50733333334</v>
      </c>
      <c r="AN28" s="411">
        <f t="shared" si="13"/>
        <v>165722.50733333334</v>
      </c>
      <c r="AO28" s="410">
        <f t="shared" si="13"/>
        <v>165722.50733333334</v>
      </c>
      <c r="AP28" s="411">
        <f t="shared" si="13"/>
        <v>165722.50733333334</v>
      </c>
      <c r="AQ28" s="410">
        <f t="shared" si="13"/>
        <v>165722.50733333334</v>
      </c>
      <c r="AR28" s="411">
        <f t="shared" si="13"/>
        <v>165722.50733333334</v>
      </c>
      <c r="AS28" s="410">
        <f t="shared" si="13"/>
        <v>165722.50733333334</v>
      </c>
      <c r="AT28" s="411">
        <f>$D$28*AT17</f>
        <v>165722.50733333334</v>
      </c>
      <c r="AU28" s="410">
        <f t="shared" ref="AU28:CL28" si="14">$D$28*AU17</f>
        <v>165722.50733333334</v>
      </c>
      <c r="AV28" s="410">
        <f t="shared" si="14"/>
        <v>165722.50733333334</v>
      </c>
      <c r="AW28" s="410">
        <f t="shared" si="14"/>
        <v>165722.50733333334</v>
      </c>
      <c r="AX28" s="410">
        <f t="shared" si="14"/>
        <v>165722.50733333334</v>
      </c>
      <c r="AY28" s="410">
        <f t="shared" si="14"/>
        <v>165722.50733333334</v>
      </c>
      <c r="AZ28" s="410">
        <f t="shared" si="14"/>
        <v>165722.50733333334</v>
      </c>
      <c r="BA28" s="410">
        <f t="shared" si="14"/>
        <v>165722.50733333334</v>
      </c>
      <c r="BB28" s="410">
        <f t="shared" si="14"/>
        <v>165722.50733333334</v>
      </c>
      <c r="BC28" s="410">
        <f t="shared" si="14"/>
        <v>165722.50733333334</v>
      </c>
      <c r="BD28" s="410">
        <f t="shared" si="14"/>
        <v>165722.50733333334</v>
      </c>
      <c r="BE28" s="410">
        <f t="shared" si="14"/>
        <v>165722.50733333334</v>
      </c>
      <c r="BF28" s="410">
        <f t="shared" si="14"/>
        <v>165722.50733333334</v>
      </c>
      <c r="BG28" s="410">
        <f t="shared" si="14"/>
        <v>165722.50733333334</v>
      </c>
      <c r="BH28" s="410">
        <f t="shared" si="14"/>
        <v>165722.50733333334</v>
      </c>
      <c r="BI28" s="410">
        <f t="shared" si="14"/>
        <v>165722.50733333334</v>
      </c>
      <c r="BJ28" s="410">
        <f t="shared" si="14"/>
        <v>165722.50733333334</v>
      </c>
      <c r="BK28" s="410">
        <f t="shared" si="14"/>
        <v>165722.50733333334</v>
      </c>
      <c r="BL28" s="410">
        <f t="shared" si="14"/>
        <v>165722.50733333334</v>
      </c>
      <c r="BM28" s="410">
        <f t="shared" si="14"/>
        <v>165722.50733333334</v>
      </c>
      <c r="BN28" s="410">
        <f t="shared" si="14"/>
        <v>165722.50733333334</v>
      </c>
      <c r="BO28" s="410">
        <f t="shared" si="14"/>
        <v>165722.50733333334</v>
      </c>
      <c r="BP28" s="410">
        <f t="shared" si="14"/>
        <v>165722.50733333334</v>
      </c>
      <c r="BQ28" s="410">
        <f t="shared" si="14"/>
        <v>165722.50733333334</v>
      </c>
      <c r="BR28" s="410">
        <f t="shared" si="14"/>
        <v>165722.50733333334</v>
      </c>
      <c r="BS28" s="410">
        <f t="shared" si="14"/>
        <v>165722.50733333334</v>
      </c>
      <c r="BT28" s="410">
        <f t="shared" si="14"/>
        <v>165722.50733333334</v>
      </c>
      <c r="BU28" s="410">
        <f t="shared" si="14"/>
        <v>165722.50733333334</v>
      </c>
      <c r="BV28" s="410">
        <f t="shared" si="14"/>
        <v>165722.50733333334</v>
      </c>
      <c r="BW28" s="410">
        <f t="shared" si="14"/>
        <v>165722.50733333334</v>
      </c>
      <c r="BX28" s="410">
        <f t="shared" si="14"/>
        <v>165722.50733333334</v>
      </c>
      <c r="BY28" s="410">
        <f t="shared" si="14"/>
        <v>165722.50733333334</v>
      </c>
      <c r="BZ28" s="410">
        <f t="shared" si="14"/>
        <v>165722.50733333334</v>
      </c>
      <c r="CA28" s="410">
        <f t="shared" si="14"/>
        <v>165722.50733333334</v>
      </c>
      <c r="CB28" s="410">
        <f t="shared" si="14"/>
        <v>165722.50733333334</v>
      </c>
      <c r="CC28" s="410">
        <f t="shared" si="14"/>
        <v>165722.50733333334</v>
      </c>
      <c r="CD28" s="410">
        <f t="shared" si="14"/>
        <v>165722.50733333334</v>
      </c>
      <c r="CE28" s="410">
        <f t="shared" si="14"/>
        <v>165722.50733333334</v>
      </c>
      <c r="CF28" s="410">
        <f t="shared" si="14"/>
        <v>165722.50733333334</v>
      </c>
      <c r="CG28" s="410">
        <f t="shared" si="14"/>
        <v>165722.50733333334</v>
      </c>
      <c r="CH28" s="410">
        <f t="shared" si="14"/>
        <v>165722.50733333334</v>
      </c>
      <c r="CI28" s="410">
        <f t="shared" si="14"/>
        <v>165722.50733333334</v>
      </c>
      <c r="CJ28" s="410">
        <f t="shared" si="14"/>
        <v>165722.50733333334</v>
      </c>
      <c r="CK28" s="410">
        <f t="shared" si="14"/>
        <v>165722.50733333334</v>
      </c>
      <c r="CL28" s="412">
        <f t="shared" si="14"/>
        <v>165722.50733333334</v>
      </c>
      <c r="CM28" s="319">
        <f t="shared" ref="CM28:CM56" si="15">AVERAGE(G28:CL28)</f>
        <v>171087.92587460292</v>
      </c>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row>
    <row r="29" spans="1:178">
      <c r="A29" s="1050"/>
      <c r="B29" s="2" t="s">
        <v>309</v>
      </c>
      <c r="C29" s="362" t="s">
        <v>142</v>
      </c>
      <c r="D29" s="362"/>
      <c r="E29" s="58"/>
      <c r="F29" s="413" t="s">
        <v>315</v>
      </c>
      <c r="G29" s="414">
        <f>(G30*G3+G31*G4+G32*G5+G33*G6)/SUM(G30:G33)</f>
        <v>26248.898092056206</v>
      </c>
      <c r="H29" s="414">
        <f t="shared" ref="H29:BS29" si="16">(H30*H3+H31*H4+H32*H5+H33*H6)/SUM(H30:H33)</f>
        <v>28415.311408828744</v>
      </c>
      <c r="I29" s="414">
        <f t="shared" si="16"/>
        <v>28218.118225854312</v>
      </c>
      <c r="J29" s="414">
        <f t="shared" si="16"/>
        <v>27578.07227309102</v>
      </c>
      <c r="K29" s="414">
        <f t="shared" si="16"/>
        <v>27908.147654749388</v>
      </c>
      <c r="L29" s="414">
        <f t="shared" si="16"/>
        <v>28038.635676503261</v>
      </c>
      <c r="M29" s="414">
        <f t="shared" si="16"/>
        <v>28158.906606393994</v>
      </c>
      <c r="N29" s="414">
        <f t="shared" si="16"/>
        <v>28535.990101657877</v>
      </c>
      <c r="O29" s="414">
        <f t="shared" si="16"/>
        <v>27245.201875916089</v>
      </c>
      <c r="P29" s="414">
        <f t="shared" si="16"/>
        <v>26951.79923924345</v>
      </c>
      <c r="Q29" s="414">
        <f t="shared" si="16"/>
        <v>27085.425593093998</v>
      </c>
      <c r="R29" s="414">
        <f t="shared" si="16"/>
        <v>27352.641791162998</v>
      </c>
      <c r="S29" s="414">
        <f t="shared" si="16"/>
        <v>27187.141793427338</v>
      </c>
      <c r="T29" s="414">
        <f t="shared" si="16"/>
        <v>27521.690436394816</v>
      </c>
      <c r="U29" s="414">
        <f t="shared" si="16"/>
        <v>24905.557105267253</v>
      </c>
      <c r="V29" s="414">
        <f t="shared" si="16"/>
        <v>24706.779327293934</v>
      </c>
      <c r="W29" s="414">
        <f t="shared" si="16"/>
        <v>24659.644843325634</v>
      </c>
      <c r="X29" s="414">
        <f t="shared" si="16"/>
        <v>24525.252008694199</v>
      </c>
      <c r="Y29" s="414">
        <f t="shared" si="16"/>
        <v>22239.171770581863</v>
      </c>
      <c r="Z29" s="414">
        <f t="shared" si="16"/>
        <v>22391.555653205422</v>
      </c>
      <c r="AA29" s="414">
        <f t="shared" si="16"/>
        <v>22479.837514921517</v>
      </c>
      <c r="AB29" s="414">
        <f t="shared" si="16"/>
        <v>22252.604090853736</v>
      </c>
      <c r="AC29" s="414">
        <f t="shared" si="16"/>
        <v>22184.140752862189</v>
      </c>
      <c r="AD29" s="414">
        <f t="shared" si="16"/>
        <v>22261.015698162497</v>
      </c>
      <c r="AE29" s="414">
        <f t="shared" si="16"/>
        <v>20688.657426125133</v>
      </c>
      <c r="AF29" s="414">
        <f t="shared" si="16"/>
        <v>20925.034043806747</v>
      </c>
      <c r="AG29" s="414">
        <f t="shared" si="16"/>
        <v>21015.981579993964</v>
      </c>
      <c r="AH29" s="414">
        <f t="shared" si="16"/>
        <v>21246.21575951765</v>
      </c>
      <c r="AI29" s="414">
        <f t="shared" si="16"/>
        <v>21220.582192034159</v>
      </c>
      <c r="AJ29" s="414">
        <f t="shared" si="16"/>
        <v>20841.900048866755</v>
      </c>
      <c r="AK29" s="414">
        <f t="shared" si="16"/>
        <v>20532.971355948204</v>
      </c>
      <c r="AL29" s="414">
        <f t="shared" si="16"/>
        <v>20339.735336673042</v>
      </c>
      <c r="AM29" s="414">
        <f t="shared" si="16"/>
        <v>20238.446785895507</v>
      </c>
      <c r="AN29" s="414">
        <f t="shared" si="16"/>
        <v>20200.850690890857</v>
      </c>
      <c r="AO29" s="414">
        <f t="shared" si="16"/>
        <v>20407.827997004053</v>
      </c>
      <c r="AP29" s="414">
        <f t="shared" si="16"/>
        <v>20679.956881281174</v>
      </c>
      <c r="AQ29" s="414">
        <f t="shared" si="16"/>
        <v>22212.392072681403</v>
      </c>
      <c r="AR29" s="414">
        <f t="shared" si="16"/>
        <v>22381.087057850262</v>
      </c>
      <c r="AS29" s="414">
        <f t="shared" si="16"/>
        <v>22245.455933802881</v>
      </c>
      <c r="AT29" s="414">
        <f t="shared" si="16"/>
        <v>22250.644190885218</v>
      </c>
      <c r="AU29" s="414">
        <f t="shared" si="16"/>
        <v>22175.763170450413</v>
      </c>
      <c r="AV29" s="414">
        <f t="shared" si="16"/>
        <v>22230.700962761617</v>
      </c>
      <c r="AW29" s="414">
        <f t="shared" si="16"/>
        <v>23023.713962743215</v>
      </c>
      <c r="AX29" s="414">
        <f t="shared" si="16"/>
        <v>23579.452953668289</v>
      </c>
      <c r="AY29" s="414">
        <f t="shared" si="16"/>
        <v>23643.50503937032</v>
      </c>
      <c r="AZ29" s="414">
        <f t="shared" si="16"/>
        <v>23822.014482330771</v>
      </c>
      <c r="BA29" s="414">
        <f t="shared" si="16"/>
        <v>24112.69358581242</v>
      </c>
      <c r="BB29" s="414">
        <f t="shared" si="16"/>
        <v>24735.173413513126</v>
      </c>
      <c r="BC29" s="414">
        <f t="shared" si="16"/>
        <v>25997.627141982128</v>
      </c>
      <c r="BD29" s="414">
        <f t="shared" si="16"/>
        <v>24820.451933181284</v>
      </c>
      <c r="BE29" s="414">
        <f t="shared" si="16"/>
        <v>24341.963289386156</v>
      </c>
      <c r="BF29" s="414">
        <f t="shared" si="16"/>
        <v>24417.138312063173</v>
      </c>
      <c r="BG29" s="414">
        <f t="shared" si="16"/>
        <v>24653.105945049803</v>
      </c>
      <c r="BH29" s="414">
        <f t="shared" si="16"/>
        <v>24487.83308028122</v>
      </c>
      <c r="BI29" s="414">
        <f t="shared" si="16"/>
        <v>25740.992098834162</v>
      </c>
      <c r="BJ29" s="414">
        <f t="shared" si="16"/>
        <v>25727.615789520321</v>
      </c>
      <c r="BK29" s="414">
        <f t="shared" si="16"/>
        <v>25201.169748586628</v>
      </c>
      <c r="BL29" s="414">
        <f t="shared" si="16"/>
        <v>25182.720262921794</v>
      </c>
      <c r="BM29" s="414">
        <f t="shared" si="16"/>
        <v>25481.779072072542</v>
      </c>
      <c r="BN29" s="414">
        <f t="shared" si="16"/>
        <v>25524.478934328476</v>
      </c>
      <c r="BO29" s="414">
        <f t="shared" si="16"/>
        <v>24055.954746841206</v>
      </c>
      <c r="BP29" s="414">
        <f t="shared" si="16"/>
        <v>24315.228427429003</v>
      </c>
      <c r="BQ29" s="414">
        <f t="shared" si="16"/>
        <v>24347.24382348972</v>
      </c>
      <c r="BR29" s="414">
        <f t="shared" si="16"/>
        <v>24495.37471220073</v>
      </c>
      <c r="BS29" s="414">
        <f t="shared" si="16"/>
        <v>24300.784391342841</v>
      </c>
      <c r="BT29" s="414">
        <f t="shared" ref="BT29:CM29" si="17">(BT30*BT3+BT31*BT4+BT32*BT5+BT33*BT6)/SUM(BT30:BT33)</f>
        <v>24002.671817438149</v>
      </c>
      <c r="BU29" s="414">
        <f t="shared" si="17"/>
        <v>20279.680338910264</v>
      </c>
      <c r="BV29" s="414">
        <f t="shared" si="17"/>
        <v>20722.903574492422</v>
      </c>
      <c r="BW29" s="414">
        <f t="shared" si="17"/>
        <v>21261.820599576222</v>
      </c>
      <c r="BX29" s="414">
        <f t="shared" si="17"/>
        <v>21321.742981971151</v>
      </c>
      <c r="BY29" s="414">
        <f t="shared" si="17"/>
        <v>21238.951399641432</v>
      </c>
      <c r="BZ29" s="414">
        <f t="shared" si="17"/>
        <v>21134.079393481665</v>
      </c>
      <c r="CA29" s="414">
        <f t="shared" si="17"/>
        <v>19064.460019352853</v>
      </c>
      <c r="CB29" s="414">
        <f t="shared" si="17"/>
        <v>19164.98436860547</v>
      </c>
      <c r="CC29" s="414">
        <f t="shared" si="17"/>
        <v>19342.399148219341</v>
      </c>
      <c r="CD29" s="414">
        <f t="shared" si="17"/>
        <v>19691.198925273893</v>
      </c>
      <c r="CE29" s="414">
        <f t="shared" si="17"/>
        <v>19963.25129445699</v>
      </c>
      <c r="CF29" s="414">
        <f t="shared" si="17"/>
        <v>20032.313082320838</v>
      </c>
      <c r="CG29" s="414">
        <f t="shared" si="17"/>
        <v>20063.343055439098</v>
      </c>
      <c r="CH29" s="414">
        <f t="shared" si="17"/>
        <v>19906.933904569611</v>
      </c>
      <c r="CI29" s="414">
        <f t="shared" si="17"/>
        <v>20257.900454567956</v>
      </c>
      <c r="CJ29" s="414">
        <f t="shared" si="17"/>
        <v>20623.931366239183</v>
      </c>
      <c r="CK29" s="414">
        <f t="shared" si="17"/>
        <v>20457.87147590558</v>
      </c>
      <c r="CL29" s="414">
        <f t="shared" si="17"/>
        <v>20591.716478999555</v>
      </c>
      <c r="CM29" s="414">
        <f t="shared" si="17"/>
        <v>23285.903712457399</v>
      </c>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row>
    <row r="30" spans="1:178">
      <c r="A30" s="1050"/>
      <c r="B30" s="2" t="s">
        <v>309</v>
      </c>
      <c r="C30" s="362" t="s">
        <v>310</v>
      </c>
      <c r="D30" s="362">
        <v>0.622</v>
      </c>
      <c r="E30" s="58"/>
      <c r="F30" s="27" t="s">
        <v>174</v>
      </c>
      <c r="G30" s="411">
        <f>$D$30*G13</f>
        <v>27730.833333333336</v>
      </c>
      <c r="H30" s="411">
        <f t="shared" ref="H30:BS30" si="18">$D$30*H13</f>
        <v>27730.833333333336</v>
      </c>
      <c r="I30" s="411">
        <f t="shared" si="18"/>
        <v>27730.833333333336</v>
      </c>
      <c r="J30" s="411">
        <f t="shared" si="18"/>
        <v>27730.833333333336</v>
      </c>
      <c r="K30" s="411">
        <f t="shared" si="18"/>
        <v>27730.833333333336</v>
      </c>
      <c r="L30" s="411">
        <f t="shared" si="18"/>
        <v>27730.833333333336</v>
      </c>
      <c r="M30" s="411">
        <f t="shared" si="18"/>
        <v>27730.833333333336</v>
      </c>
      <c r="N30" s="411">
        <f t="shared" si="18"/>
        <v>27730.833333333336</v>
      </c>
      <c r="O30" s="411">
        <f t="shared" si="18"/>
        <v>27730.833333333336</v>
      </c>
      <c r="P30" s="411">
        <f t="shared" si="18"/>
        <v>27730.833333333336</v>
      </c>
      <c r="Q30" s="411">
        <f t="shared" si="18"/>
        <v>27730.833333333336</v>
      </c>
      <c r="R30" s="411">
        <f t="shared" si="18"/>
        <v>27730.833333333336</v>
      </c>
      <c r="S30" s="411">
        <f t="shared" si="18"/>
        <v>27730.833333333336</v>
      </c>
      <c r="T30" s="411">
        <f t="shared" si="18"/>
        <v>27730.833333333336</v>
      </c>
      <c r="U30" s="411">
        <f t="shared" si="18"/>
        <v>27730.833333333336</v>
      </c>
      <c r="V30" s="411">
        <f t="shared" si="18"/>
        <v>27730.833333333336</v>
      </c>
      <c r="W30" s="411">
        <f t="shared" si="18"/>
        <v>27730.833333333336</v>
      </c>
      <c r="X30" s="411">
        <f t="shared" si="18"/>
        <v>27730.833333333336</v>
      </c>
      <c r="Y30" s="411">
        <f t="shared" si="18"/>
        <v>27730.833333333336</v>
      </c>
      <c r="Z30" s="411">
        <f t="shared" si="18"/>
        <v>27730.833333333336</v>
      </c>
      <c r="AA30" s="411">
        <f t="shared" si="18"/>
        <v>27730.833333333336</v>
      </c>
      <c r="AB30" s="411">
        <f t="shared" si="18"/>
        <v>27730.833333333336</v>
      </c>
      <c r="AC30" s="411">
        <f t="shared" si="18"/>
        <v>27730.833333333336</v>
      </c>
      <c r="AD30" s="411">
        <f t="shared" si="18"/>
        <v>27730.833333333336</v>
      </c>
      <c r="AE30" s="411">
        <f t="shared" si="18"/>
        <v>27730.833333333336</v>
      </c>
      <c r="AF30" s="411">
        <f t="shared" si="18"/>
        <v>27730.833333333336</v>
      </c>
      <c r="AG30" s="411">
        <f t="shared" si="18"/>
        <v>27730.833333333336</v>
      </c>
      <c r="AH30" s="411">
        <f t="shared" si="18"/>
        <v>27730.833333333336</v>
      </c>
      <c r="AI30" s="411">
        <f t="shared" si="18"/>
        <v>27730.833333333336</v>
      </c>
      <c r="AJ30" s="411">
        <f t="shared" si="18"/>
        <v>27730.833333333336</v>
      </c>
      <c r="AK30" s="411">
        <f t="shared" si="18"/>
        <v>27730.833333333336</v>
      </c>
      <c r="AL30" s="411">
        <f t="shared" si="18"/>
        <v>27730.833333333336</v>
      </c>
      <c r="AM30" s="411">
        <f t="shared" si="18"/>
        <v>27730.833333333336</v>
      </c>
      <c r="AN30" s="411">
        <f t="shared" si="18"/>
        <v>27730.833333333336</v>
      </c>
      <c r="AO30" s="411">
        <f t="shared" si="18"/>
        <v>27730.833333333336</v>
      </c>
      <c r="AP30" s="411">
        <f t="shared" si="18"/>
        <v>27730.833333333336</v>
      </c>
      <c r="AQ30" s="411">
        <f t="shared" si="18"/>
        <v>27730.833333333336</v>
      </c>
      <c r="AR30" s="411">
        <f t="shared" si="18"/>
        <v>27730.833333333336</v>
      </c>
      <c r="AS30" s="411">
        <f t="shared" si="18"/>
        <v>27730.833333333336</v>
      </c>
      <c r="AT30" s="411">
        <f t="shared" si="18"/>
        <v>27730.833333333336</v>
      </c>
      <c r="AU30" s="411">
        <f t="shared" si="18"/>
        <v>27730.833333333336</v>
      </c>
      <c r="AV30" s="411">
        <f t="shared" si="18"/>
        <v>27730.833333333336</v>
      </c>
      <c r="AW30" s="411">
        <f t="shared" si="18"/>
        <v>27730.833333333336</v>
      </c>
      <c r="AX30" s="411">
        <f t="shared" si="18"/>
        <v>27730.833333333336</v>
      </c>
      <c r="AY30" s="411">
        <f t="shared" si="18"/>
        <v>27730.833333333336</v>
      </c>
      <c r="AZ30" s="411">
        <f t="shared" si="18"/>
        <v>27730.833333333336</v>
      </c>
      <c r="BA30" s="411">
        <f t="shared" si="18"/>
        <v>27730.833333333336</v>
      </c>
      <c r="BB30" s="411">
        <f t="shared" si="18"/>
        <v>27730.833333333336</v>
      </c>
      <c r="BC30" s="411">
        <f t="shared" si="18"/>
        <v>27730.833333333336</v>
      </c>
      <c r="BD30" s="411">
        <f t="shared" si="18"/>
        <v>27730.833333333336</v>
      </c>
      <c r="BE30" s="411">
        <f t="shared" si="18"/>
        <v>27730.833333333336</v>
      </c>
      <c r="BF30" s="411">
        <f t="shared" si="18"/>
        <v>27730.833333333336</v>
      </c>
      <c r="BG30" s="411">
        <f t="shared" si="18"/>
        <v>27730.833333333336</v>
      </c>
      <c r="BH30" s="411">
        <f t="shared" si="18"/>
        <v>27730.833333333336</v>
      </c>
      <c r="BI30" s="411">
        <f t="shared" si="18"/>
        <v>27730.833333333336</v>
      </c>
      <c r="BJ30" s="411">
        <f t="shared" si="18"/>
        <v>27730.833333333336</v>
      </c>
      <c r="BK30" s="411">
        <f t="shared" si="18"/>
        <v>27730.833333333336</v>
      </c>
      <c r="BL30" s="411">
        <f t="shared" si="18"/>
        <v>27730.833333333336</v>
      </c>
      <c r="BM30" s="411">
        <f t="shared" si="18"/>
        <v>27730.833333333336</v>
      </c>
      <c r="BN30" s="411">
        <f t="shared" si="18"/>
        <v>27730.833333333336</v>
      </c>
      <c r="BO30" s="411">
        <f t="shared" si="18"/>
        <v>27730.833333333336</v>
      </c>
      <c r="BP30" s="411">
        <f t="shared" si="18"/>
        <v>27730.833333333336</v>
      </c>
      <c r="BQ30" s="411">
        <f t="shared" si="18"/>
        <v>27730.833333333336</v>
      </c>
      <c r="BR30" s="411">
        <f t="shared" si="18"/>
        <v>27730.833333333336</v>
      </c>
      <c r="BS30" s="411">
        <f t="shared" si="18"/>
        <v>27730.833333333336</v>
      </c>
      <c r="BT30" s="411">
        <f t="shared" ref="BT30:CM30" si="19">$D$30*BT13</f>
        <v>27730.833333333336</v>
      </c>
      <c r="BU30" s="411">
        <f t="shared" si="19"/>
        <v>27730.833333333336</v>
      </c>
      <c r="BV30" s="411">
        <f t="shared" si="19"/>
        <v>27730.833333333336</v>
      </c>
      <c r="BW30" s="411">
        <f t="shared" si="19"/>
        <v>27730.833333333336</v>
      </c>
      <c r="BX30" s="411">
        <f t="shared" si="19"/>
        <v>27730.833333333336</v>
      </c>
      <c r="BY30" s="411">
        <f t="shared" si="19"/>
        <v>27730.833333333336</v>
      </c>
      <c r="BZ30" s="411">
        <f t="shared" si="19"/>
        <v>27730.833333333336</v>
      </c>
      <c r="CA30" s="411">
        <f t="shared" si="19"/>
        <v>27730.833333333336</v>
      </c>
      <c r="CB30" s="411">
        <f t="shared" si="19"/>
        <v>27730.833333333336</v>
      </c>
      <c r="CC30" s="411">
        <f t="shared" si="19"/>
        <v>27730.833333333336</v>
      </c>
      <c r="CD30" s="411">
        <f t="shared" si="19"/>
        <v>27730.833333333336</v>
      </c>
      <c r="CE30" s="411">
        <f t="shared" si="19"/>
        <v>27730.833333333336</v>
      </c>
      <c r="CF30" s="411">
        <f t="shared" si="19"/>
        <v>27730.833333333336</v>
      </c>
      <c r="CG30" s="411">
        <f t="shared" si="19"/>
        <v>27730.833333333336</v>
      </c>
      <c r="CH30" s="411">
        <f t="shared" si="19"/>
        <v>27730.833333333336</v>
      </c>
      <c r="CI30" s="411">
        <f t="shared" si="19"/>
        <v>27730.833333333336</v>
      </c>
      <c r="CJ30" s="411">
        <f t="shared" si="19"/>
        <v>27730.833333333336</v>
      </c>
      <c r="CK30" s="411">
        <f t="shared" si="19"/>
        <v>27730.833333333336</v>
      </c>
      <c r="CL30" s="411">
        <f t="shared" si="19"/>
        <v>27730.833333333336</v>
      </c>
      <c r="CM30" s="411">
        <f t="shared" si="19"/>
        <v>27730.833333333336</v>
      </c>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row>
    <row r="31" spans="1:178">
      <c r="A31" s="1050"/>
      <c r="B31" s="2" t="s">
        <v>309</v>
      </c>
      <c r="C31" s="362" t="s">
        <v>310</v>
      </c>
      <c r="D31" s="362">
        <v>1.4999999999999999E-2</v>
      </c>
      <c r="E31" s="58"/>
      <c r="F31" s="27" t="s">
        <v>175</v>
      </c>
      <c r="G31" s="411">
        <f>$D$31*G14</f>
        <v>338.74999999999994</v>
      </c>
      <c r="H31" s="411">
        <f t="shared" ref="H31:BS31" si="20">$D$31*H14</f>
        <v>338.74999999999994</v>
      </c>
      <c r="I31" s="411">
        <f t="shared" si="20"/>
        <v>338.74999999999994</v>
      </c>
      <c r="J31" s="411">
        <f t="shared" si="20"/>
        <v>338.74999999999994</v>
      </c>
      <c r="K31" s="411">
        <f t="shared" si="20"/>
        <v>338.74999999999994</v>
      </c>
      <c r="L31" s="411">
        <f t="shared" si="20"/>
        <v>338.74999999999994</v>
      </c>
      <c r="M31" s="411">
        <f t="shared" si="20"/>
        <v>338.74999999999994</v>
      </c>
      <c r="N31" s="411">
        <f t="shared" si="20"/>
        <v>338.74999999999994</v>
      </c>
      <c r="O31" s="411">
        <f t="shared" si="20"/>
        <v>338.74999999999994</v>
      </c>
      <c r="P31" s="411">
        <f t="shared" si="20"/>
        <v>338.74999999999994</v>
      </c>
      <c r="Q31" s="411">
        <f t="shared" si="20"/>
        <v>338.74999999999994</v>
      </c>
      <c r="R31" s="411">
        <f t="shared" si="20"/>
        <v>338.74999999999994</v>
      </c>
      <c r="S31" s="411">
        <f t="shared" si="20"/>
        <v>338.74999999999994</v>
      </c>
      <c r="T31" s="411">
        <f t="shared" si="20"/>
        <v>338.74999999999994</v>
      </c>
      <c r="U31" s="411">
        <f t="shared" si="20"/>
        <v>338.74999999999994</v>
      </c>
      <c r="V31" s="411">
        <f t="shared" si="20"/>
        <v>338.74999999999994</v>
      </c>
      <c r="W31" s="411">
        <f t="shared" si="20"/>
        <v>338.74999999999994</v>
      </c>
      <c r="X31" s="411">
        <f t="shared" si="20"/>
        <v>338.74999999999994</v>
      </c>
      <c r="Y31" s="411">
        <f t="shared" si="20"/>
        <v>338.74999999999994</v>
      </c>
      <c r="Z31" s="411">
        <f t="shared" si="20"/>
        <v>338.74999999999994</v>
      </c>
      <c r="AA31" s="411">
        <f t="shared" si="20"/>
        <v>338.74999999999994</v>
      </c>
      <c r="AB31" s="411">
        <f t="shared" si="20"/>
        <v>338.74999999999994</v>
      </c>
      <c r="AC31" s="411">
        <f t="shared" si="20"/>
        <v>338.74999999999994</v>
      </c>
      <c r="AD31" s="411">
        <f t="shared" si="20"/>
        <v>338.74999999999994</v>
      </c>
      <c r="AE31" s="411">
        <f t="shared" si="20"/>
        <v>338.74999999999994</v>
      </c>
      <c r="AF31" s="411">
        <f t="shared" si="20"/>
        <v>338.74999999999994</v>
      </c>
      <c r="AG31" s="411">
        <f t="shared" si="20"/>
        <v>338.74999999999994</v>
      </c>
      <c r="AH31" s="411">
        <f t="shared" si="20"/>
        <v>338.74999999999994</v>
      </c>
      <c r="AI31" s="411">
        <f t="shared" si="20"/>
        <v>338.74999999999994</v>
      </c>
      <c r="AJ31" s="411">
        <f t="shared" si="20"/>
        <v>338.74999999999994</v>
      </c>
      <c r="AK31" s="411">
        <f t="shared" si="20"/>
        <v>338.74999999999994</v>
      </c>
      <c r="AL31" s="411">
        <f t="shared" si="20"/>
        <v>338.74999999999994</v>
      </c>
      <c r="AM31" s="411">
        <f t="shared" si="20"/>
        <v>338.74999999999994</v>
      </c>
      <c r="AN31" s="411">
        <f t="shared" si="20"/>
        <v>338.74999999999994</v>
      </c>
      <c r="AO31" s="411">
        <f t="shared" si="20"/>
        <v>338.74999999999994</v>
      </c>
      <c r="AP31" s="411">
        <f t="shared" si="20"/>
        <v>338.74999999999994</v>
      </c>
      <c r="AQ31" s="411">
        <f t="shared" si="20"/>
        <v>338.74999999999994</v>
      </c>
      <c r="AR31" s="411">
        <f t="shared" si="20"/>
        <v>338.74999999999994</v>
      </c>
      <c r="AS31" s="411">
        <f t="shared" si="20"/>
        <v>338.74999999999994</v>
      </c>
      <c r="AT31" s="411">
        <f t="shared" si="20"/>
        <v>338.74999999999994</v>
      </c>
      <c r="AU31" s="411">
        <f t="shared" si="20"/>
        <v>338.74999999999994</v>
      </c>
      <c r="AV31" s="411">
        <f t="shared" si="20"/>
        <v>338.74999999999994</v>
      </c>
      <c r="AW31" s="411">
        <f t="shared" si="20"/>
        <v>338.74999999999994</v>
      </c>
      <c r="AX31" s="411">
        <f t="shared" si="20"/>
        <v>338.74999999999994</v>
      </c>
      <c r="AY31" s="411">
        <f t="shared" si="20"/>
        <v>338.74999999999994</v>
      </c>
      <c r="AZ31" s="411">
        <f t="shared" si="20"/>
        <v>338.74999999999994</v>
      </c>
      <c r="BA31" s="411">
        <f t="shared" si="20"/>
        <v>338.74999999999994</v>
      </c>
      <c r="BB31" s="411">
        <f t="shared" si="20"/>
        <v>338.74999999999994</v>
      </c>
      <c r="BC31" s="411">
        <f t="shared" si="20"/>
        <v>338.74999999999994</v>
      </c>
      <c r="BD31" s="411">
        <f t="shared" si="20"/>
        <v>338.74999999999994</v>
      </c>
      <c r="BE31" s="411">
        <f t="shared" si="20"/>
        <v>338.74999999999994</v>
      </c>
      <c r="BF31" s="411">
        <f t="shared" si="20"/>
        <v>338.74999999999994</v>
      </c>
      <c r="BG31" s="411">
        <f t="shared" si="20"/>
        <v>338.74999999999994</v>
      </c>
      <c r="BH31" s="411">
        <f t="shared" si="20"/>
        <v>338.74999999999994</v>
      </c>
      <c r="BI31" s="411">
        <f t="shared" si="20"/>
        <v>338.74999999999994</v>
      </c>
      <c r="BJ31" s="411">
        <f t="shared" si="20"/>
        <v>338.74999999999994</v>
      </c>
      <c r="BK31" s="411">
        <f t="shared" si="20"/>
        <v>338.74999999999994</v>
      </c>
      <c r="BL31" s="411">
        <f t="shared" si="20"/>
        <v>338.74999999999994</v>
      </c>
      <c r="BM31" s="411">
        <f t="shared" si="20"/>
        <v>338.74999999999994</v>
      </c>
      <c r="BN31" s="411">
        <f t="shared" si="20"/>
        <v>338.74999999999994</v>
      </c>
      <c r="BO31" s="411">
        <f t="shared" si="20"/>
        <v>338.74999999999994</v>
      </c>
      <c r="BP31" s="411">
        <f t="shared" si="20"/>
        <v>338.74999999999994</v>
      </c>
      <c r="BQ31" s="411">
        <f t="shared" si="20"/>
        <v>338.74999999999994</v>
      </c>
      <c r="BR31" s="411">
        <f t="shared" si="20"/>
        <v>338.74999999999994</v>
      </c>
      <c r="BS31" s="411">
        <f t="shared" si="20"/>
        <v>338.74999999999994</v>
      </c>
      <c r="BT31" s="411">
        <f t="shared" ref="BT31:CM31" si="21">$D$31*BT14</f>
        <v>338.74999999999994</v>
      </c>
      <c r="BU31" s="411">
        <f t="shared" si="21"/>
        <v>338.74999999999994</v>
      </c>
      <c r="BV31" s="411">
        <f t="shared" si="21"/>
        <v>338.74999999999994</v>
      </c>
      <c r="BW31" s="411">
        <f t="shared" si="21"/>
        <v>338.74999999999994</v>
      </c>
      <c r="BX31" s="411">
        <f t="shared" si="21"/>
        <v>338.74999999999994</v>
      </c>
      <c r="BY31" s="411">
        <f t="shared" si="21"/>
        <v>338.74999999999994</v>
      </c>
      <c r="BZ31" s="411">
        <f t="shared" si="21"/>
        <v>338.74999999999994</v>
      </c>
      <c r="CA31" s="411">
        <f t="shared" si="21"/>
        <v>338.74999999999994</v>
      </c>
      <c r="CB31" s="411">
        <f t="shared" si="21"/>
        <v>338.74999999999994</v>
      </c>
      <c r="CC31" s="411">
        <f t="shared" si="21"/>
        <v>338.74999999999994</v>
      </c>
      <c r="CD31" s="411">
        <f t="shared" si="21"/>
        <v>338.74999999999994</v>
      </c>
      <c r="CE31" s="411">
        <f t="shared" si="21"/>
        <v>338.74999999999994</v>
      </c>
      <c r="CF31" s="411">
        <f t="shared" si="21"/>
        <v>338.74999999999994</v>
      </c>
      <c r="CG31" s="411">
        <f t="shared" si="21"/>
        <v>338.74999999999994</v>
      </c>
      <c r="CH31" s="411">
        <f t="shared" si="21"/>
        <v>338.74999999999994</v>
      </c>
      <c r="CI31" s="411">
        <f t="shared" si="21"/>
        <v>338.74999999999994</v>
      </c>
      <c r="CJ31" s="411">
        <f t="shared" si="21"/>
        <v>338.74999999999994</v>
      </c>
      <c r="CK31" s="411">
        <f t="shared" si="21"/>
        <v>338.74999999999994</v>
      </c>
      <c r="CL31" s="411">
        <f t="shared" si="21"/>
        <v>338.74999999999994</v>
      </c>
      <c r="CM31" s="411">
        <f t="shared" si="21"/>
        <v>338.74999999999994</v>
      </c>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row>
    <row r="32" spans="1:178">
      <c r="A32" s="1050"/>
      <c r="B32" s="2" t="s">
        <v>309</v>
      </c>
      <c r="C32" s="362" t="s">
        <v>310</v>
      </c>
      <c r="D32" s="362">
        <v>1.9E-2</v>
      </c>
      <c r="E32" s="58"/>
      <c r="F32" s="27" t="s">
        <v>176</v>
      </c>
      <c r="G32" s="411">
        <f>$D$32*G15</f>
        <v>264.41666666666663</v>
      </c>
      <c r="H32" s="411">
        <f t="shared" ref="H32:BS32" si="22">$D$32*H15</f>
        <v>264.41666666666663</v>
      </c>
      <c r="I32" s="411">
        <f t="shared" si="22"/>
        <v>264.41666666666663</v>
      </c>
      <c r="J32" s="411">
        <f t="shared" si="22"/>
        <v>264.41666666666663</v>
      </c>
      <c r="K32" s="411">
        <f t="shared" si="22"/>
        <v>264.41666666666663</v>
      </c>
      <c r="L32" s="411">
        <f t="shared" si="22"/>
        <v>264.41666666666663</v>
      </c>
      <c r="M32" s="411">
        <f t="shared" si="22"/>
        <v>264.41666666666663</v>
      </c>
      <c r="N32" s="411">
        <f t="shared" si="22"/>
        <v>264.41666666666663</v>
      </c>
      <c r="O32" s="411">
        <f t="shared" si="22"/>
        <v>264.41666666666663</v>
      </c>
      <c r="P32" s="411">
        <f t="shared" si="22"/>
        <v>264.41666666666663</v>
      </c>
      <c r="Q32" s="411">
        <f t="shared" si="22"/>
        <v>264.41666666666663</v>
      </c>
      <c r="R32" s="411">
        <f t="shared" si="22"/>
        <v>264.41666666666663</v>
      </c>
      <c r="S32" s="411">
        <f t="shared" si="22"/>
        <v>264.41666666666663</v>
      </c>
      <c r="T32" s="411">
        <f t="shared" si="22"/>
        <v>264.41666666666663</v>
      </c>
      <c r="U32" s="411">
        <f t="shared" si="22"/>
        <v>264.41666666666663</v>
      </c>
      <c r="V32" s="411">
        <f t="shared" si="22"/>
        <v>264.41666666666663</v>
      </c>
      <c r="W32" s="411">
        <f t="shared" si="22"/>
        <v>264.41666666666663</v>
      </c>
      <c r="X32" s="411">
        <f t="shared" si="22"/>
        <v>264.41666666666663</v>
      </c>
      <c r="Y32" s="411">
        <f t="shared" si="22"/>
        <v>264.41666666666663</v>
      </c>
      <c r="Z32" s="411">
        <f t="shared" si="22"/>
        <v>264.41666666666663</v>
      </c>
      <c r="AA32" s="411">
        <f t="shared" si="22"/>
        <v>264.41666666666663</v>
      </c>
      <c r="AB32" s="411">
        <f t="shared" si="22"/>
        <v>264.41666666666663</v>
      </c>
      <c r="AC32" s="411">
        <f t="shared" si="22"/>
        <v>264.41666666666663</v>
      </c>
      <c r="AD32" s="411">
        <f t="shared" si="22"/>
        <v>264.41666666666663</v>
      </c>
      <c r="AE32" s="411">
        <f t="shared" si="22"/>
        <v>264.41666666666663</v>
      </c>
      <c r="AF32" s="411">
        <f t="shared" si="22"/>
        <v>264.41666666666663</v>
      </c>
      <c r="AG32" s="411">
        <f t="shared" si="22"/>
        <v>264.41666666666663</v>
      </c>
      <c r="AH32" s="411">
        <f t="shared" si="22"/>
        <v>264.41666666666663</v>
      </c>
      <c r="AI32" s="411">
        <f t="shared" si="22"/>
        <v>264.41666666666663</v>
      </c>
      <c r="AJ32" s="411">
        <f t="shared" si="22"/>
        <v>264.41666666666663</v>
      </c>
      <c r="AK32" s="411">
        <f t="shared" si="22"/>
        <v>264.41666666666663</v>
      </c>
      <c r="AL32" s="411">
        <f t="shared" si="22"/>
        <v>264.41666666666663</v>
      </c>
      <c r="AM32" s="411">
        <f t="shared" si="22"/>
        <v>264.41666666666663</v>
      </c>
      <c r="AN32" s="411">
        <f t="shared" si="22"/>
        <v>264.41666666666663</v>
      </c>
      <c r="AO32" s="411">
        <f t="shared" si="22"/>
        <v>264.41666666666663</v>
      </c>
      <c r="AP32" s="411">
        <f t="shared" si="22"/>
        <v>264.41666666666663</v>
      </c>
      <c r="AQ32" s="411">
        <f t="shared" si="22"/>
        <v>264.41666666666663</v>
      </c>
      <c r="AR32" s="411">
        <f t="shared" si="22"/>
        <v>264.41666666666663</v>
      </c>
      <c r="AS32" s="411">
        <f t="shared" si="22"/>
        <v>264.41666666666663</v>
      </c>
      <c r="AT32" s="411">
        <f t="shared" si="22"/>
        <v>264.41666666666663</v>
      </c>
      <c r="AU32" s="411">
        <f t="shared" si="22"/>
        <v>264.41666666666663</v>
      </c>
      <c r="AV32" s="411">
        <f t="shared" si="22"/>
        <v>264.41666666666663</v>
      </c>
      <c r="AW32" s="411">
        <f t="shared" si="22"/>
        <v>264.41666666666663</v>
      </c>
      <c r="AX32" s="411">
        <f t="shared" si="22"/>
        <v>264.41666666666663</v>
      </c>
      <c r="AY32" s="411">
        <f t="shared" si="22"/>
        <v>264.41666666666663</v>
      </c>
      <c r="AZ32" s="411">
        <f t="shared" si="22"/>
        <v>264.41666666666663</v>
      </c>
      <c r="BA32" s="411">
        <f t="shared" si="22"/>
        <v>264.41666666666663</v>
      </c>
      <c r="BB32" s="411">
        <f t="shared" si="22"/>
        <v>264.41666666666663</v>
      </c>
      <c r="BC32" s="411">
        <f t="shared" si="22"/>
        <v>264.41666666666663</v>
      </c>
      <c r="BD32" s="411">
        <f t="shared" si="22"/>
        <v>264.41666666666663</v>
      </c>
      <c r="BE32" s="411">
        <f t="shared" si="22"/>
        <v>264.41666666666663</v>
      </c>
      <c r="BF32" s="411">
        <f t="shared" si="22"/>
        <v>264.41666666666663</v>
      </c>
      <c r="BG32" s="411">
        <f t="shared" si="22"/>
        <v>264.41666666666663</v>
      </c>
      <c r="BH32" s="411">
        <f t="shared" si="22"/>
        <v>264.41666666666663</v>
      </c>
      <c r="BI32" s="411">
        <f t="shared" si="22"/>
        <v>264.41666666666663</v>
      </c>
      <c r="BJ32" s="411">
        <f t="shared" si="22"/>
        <v>264.41666666666663</v>
      </c>
      <c r="BK32" s="411">
        <f t="shared" si="22"/>
        <v>264.41666666666663</v>
      </c>
      <c r="BL32" s="411">
        <f t="shared" si="22"/>
        <v>264.41666666666663</v>
      </c>
      <c r="BM32" s="411">
        <f t="shared" si="22"/>
        <v>264.41666666666663</v>
      </c>
      <c r="BN32" s="411">
        <f t="shared" si="22"/>
        <v>264.41666666666663</v>
      </c>
      <c r="BO32" s="411">
        <f t="shared" si="22"/>
        <v>264.41666666666663</v>
      </c>
      <c r="BP32" s="411">
        <f t="shared" si="22"/>
        <v>264.41666666666663</v>
      </c>
      <c r="BQ32" s="411">
        <f t="shared" si="22"/>
        <v>264.41666666666663</v>
      </c>
      <c r="BR32" s="411">
        <f t="shared" si="22"/>
        <v>264.41666666666663</v>
      </c>
      <c r="BS32" s="411">
        <f t="shared" si="22"/>
        <v>264.41666666666663</v>
      </c>
      <c r="BT32" s="411">
        <f t="shared" ref="BT32:CM32" si="23">$D$32*BT15</f>
        <v>264.41666666666663</v>
      </c>
      <c r="BU32" s="411">
        <f t="shared" si="23"/>
        <v>264.41666666666663</v>
      </c>
      <c r="BV32" s="411">
        <f t="shared" si="23"/>
        <v>264.41666666666663</v>
      </c>
      <c r="BW32" s="411">
        <f t="shared" si="23"/>
        <v>264.41666666666663</v>
      </c>
      <c r="BX32" s="411">
        <f t="shared" si="23"/>
        <v>264.41666666666663</v>
      </c>
      <c r="BY32" s="411">
        <f t="shared" si="23"/>
        <v>264.41666666666663</v>
      </c>
      <c r="BZ32" s="411">
        <f t="shared" si="23"/>
        <v>264.41666666666663</v>
      </c>
      <c r="CA32" s="411">
        <f t="shared" si="23"/>
        <v>264.41666666666663</v>
      </c>
      <c r="CB32" s="411">
        <f t="shared" si="23"/>
        <v>264.41666666666663</v>
      </c>
      <c r="CC32" s="411">
        <f t="shared" si="23"/>
        <v>264.41666666666663</v>
      </c>
      <c r="CD32" s="411">
        <f t="shared" si="23"/>
        <v>264.41666666666663</v>
      </c>
      <c r="CE32" s="411">
        <f t="shared" si="23"/>
        <v>264.41666666666663</v>
      </c>
      <c r="CF32" s="411">
        <f t="shared" si="23"/>
        <v>264.41666666666663</v>
      </c>
      <c r="CG32" s="411">
        <f t="shared" si="23"/>
        <v>264.41666666666663</v>
      </c>
      <c r="CH32" s="411">
        <f t="shared" si="23"/>
        <v>264.41666666666663</v>
      </c>
      <c r="CI32" s="411">
        <f t="shared" si="23"/>
        <v>264.41666666666663</v>
      </c>
      <c r="CJ32" s="411">
        <f t="shared" si="23"/>
        <v>264.41666666666663</v>
      </c>
      <c r="CK32" s="411">
        <f t="shared" si="23"/>
        <v>264.41666666666663</v>
      </c>
      <c r="CL32" s="411">
        <f t="shared" si="23"/>
        <v>264.41666666666663</v>
      </c>
      <c r="CM32" s="411">
        <f t="shared" si="23"/>
        <v>264.41666666666663</v>
      </c>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row>
    <row r="33" spans="1:179">
      <c r="A33" s="1050"/>
      <c r="B33" s="2" t="s">
        <v>309</v>
      </c>
      <c r="C33" s="362" t="s">
        <v>310</v>
      </c>
      <c r="D33" s="362">
        <v>1.1900000000000001E-2</v>
      </c>
      <c r="E33" s="58"/>
      <c r="F33" s="27" t="s">
        <v>177</v>
      </c>
      <c r="G33" s="411">
        <f>$D$33*G16</f>
        <v>1487.5</v>
      </c>
      <c r="H33" s="411">
        <f t="shared" ref="H33:BS33" si="24">$D$33*H16</f>
        <v>1487.5</v>
      </c>
      <c r="I33" s="411">
        <f t="shared" si="24"/>
        <v>1487.5</v>
      </c>
      <c r="J33" s="411">
        <f t="shared" si="24"/>
        <v>1487.5</v>
      </c>
      <c r="K33" s="411">
        <f t="shared" si="24"/>
        <v>1487.5</v>
      </c>
      <c r="L33" s="411">
        <f t="shared" si="24"/>
        <v>1487.5</v>
      </c>
      <c r="M33" s="411">
        <f t="shared" si="24"/>
        <v>1487.5</v>
      </c>
      <c r="N33" s="411">
        <f t="shared" si="24"/>
        <v>1487.5</v>
      </c>
      <c r="O33" s="411">
        <f t="shared" si="24"/>
        <v>1487.5</v>
      </c>
      <c r="P33" s="411">
        <f t="shared" si="24"/>
        <v>1487.5</v>
      </c>
      <c r="Q33" s="411">
        <f t="shared" si="24"/>
        <v>1487.5</v>
      </c>
      <c r="R33" s="411">
        <f t="shared" si="24"/>
        <v>1487.5</v>
      </c>
      <c r="S33" s="411">
        <f t="shared" si="24"/>
        <v>1487.5</v>
      </c>
      <c r="T33" s="411">
        <f t="shared" si="24"/>
        <v>1487.5</v>
      </c>
      <c r="U33" s="411">
        <f t="shared" si="24"/>
        <v>1487.5</v>
      </c>
      <c r="V33" s="411">
        <f t="shared" si="24"/>
        <v>1487.5</v>
      </c>
      <c r="W33" s="411">
        <f t="shared" si="24"/>
        <v>1487.5</v>
      </c>
      <c r="X33" s="411">
        <f t="shared" si="24"/>
        <v>1487.5</v>
      </c>
      <c r="Y33" s="411">
        <f t="shared" si="24"/>
        <v>1487.5</v>
      </c>
      <c r="Z33" s="411">
        <f t="shared" si="24"/>
        <v>1487.5</v>
      </c>
      <c r="AA33" s="411">
        <f t="shared" si="24"/>
        <v>1487.5</v>
      </c>
      <c r="AB33" s="411">
        <f t="shared" si="24"/>
        <v>1487.5</v>
      </c>
      <c r="AC33" s="411">
        <f t="shared" si="24"/>
        <v>1487.5</v>
      </c>
      <c r="AD33" s="411">
        <f t="shared" si="24"/>
        <v>1487.5</v>
      </c>
      <c r="AE33" s="411">
        <f t="shared" si="24"/>
        <v>1487.5</v>
      </c>
      <c r="AF33" s="411">
        <f t="shared" si="24"/>
        <v>1487.5</v>
      </c>
      <c r="AG33" s="411">
        <f t="shared" si="24"/>
        <v>1487.5</v>
      </c>
      <c r="AH33" s="411">
        <f t="shared" si="24"/>
        <v>1487.5</v>
      </c>
      <c r="AI33" s="411">
        <f t="shared" si="24"/>
        <v>1487.5</v>
      </c>
      <c r="AJ33" s="411">
        <f t="shared" si="24"/>
        <v>1487.5</v>
      </c>
      <c r="AK33" s="411">
        <f t="shared" si="24"/>
        <v>1487.5</v>
      </c>
      <c r="AL33" s="411">
        <f t="shared" si="24"/>
        <v>1487.5</v>
      </c>
      <c r="AM33" s="411">
        <f t="shared" si="24"/>
        <v>1487.5</v>
      </c>
      <c r="AN33" s="411">
        <f t="shared" si="24"/>
        <v>1487.5</v>
      </c>
      <c r="AO33" s="411">
        <f t="shared" si="24"/>
        <v>1487.5</v>
      </c>
      <c r="AP33" s="411">
        <f t="shared" si="24"/>
        <v>1487.5</v>
      </c>
      <c r="AQ33" s="411">
        <f t="shared" si="24"/>
        <v>1487.5</v>
      </c>
      <c r="AR33" s="411">
        <f t="shared" si="24"/>
        <v>1487.5</v>
      </c>
      <c r="AS33" s="411">
        <f t="shared" si="24"/>
        <v>1487.5</v>
      </c>
      <c r="AT33" s="411">
        <f t="shared" si="24"/>
        <v>1487.5</v>
      </c>
      <c r="AU33" s="411">
        <f t="shared" si="24"/>
        <v>1487.5</v>
      </c>
      <c r="AV33" s="411">
        <f t="shared" si="24"/>
        <v>1487.5</v>
      </c>
      <c r="AW33" s="411">
        <f t="shared" si="24"/>
        <v>1487.5</v>
      </c>
      <c r="AX33" s="411">
        <f t="shared" si="24"/>
        <v>1487.5</v>
      </c>
      <c r="AY33" s="411">
        <f t="shared" si="24"/>
        <v>1487.5</v>
      </c>
      <c r="AZ33" s="411">
        <f t="shared" si="24"/>
        <v>1487.5</v>
      </c>
      <c r="BA33" s="411">
        <f t="shared" si="24"/>
        <v>1487.5</v>
      </c>
      <c r="BB33" s="411">
        <f t="shared" si="24"/>
        <v>1487.5</v>
      </c>
      <c r="BC33" s="411">
        <f t="shared" si="24"/>
        <v>1487.5</v>
      </c>
      <c r="BD33" s="411">
        <f t="shared" si="24"/>
        <v>1487.5</v>
      </c>
      <c r="BE33" s="411">
        <f t="shared" si="24"/>
        <v>1487.5</v>
      </c>
      <c r="BF33" s="411">
        <f t="shared" si="24"/>
        <v>1487.5</v>
      </c>
      <c r="BG33" s="411">
        <f t="shared" si="24"/>
        <v>1487.5</v>
      </c>
      <c r="BH33" s="411">
        <f t="shared" si="24"/>
        <v>1487.5</v>
      </c>
      <c r="BI33" s="411">
        <f t="shared" si="24"/>
        <v>1487.5</v>
      </c>
      <c r="BJ33" s="411">
        <f t="shared" si="24"/>
        <v>1487.5</v>
      </c>
      <c r="BK33" s="411">
        <f t="shared" si="24"/>
        <v>1487.5</v>
      </c>
      <c r="BL33" s="411">
        <f t="shared" si="24"/>
        <v>1487.5</v>
      </c>
      <c r="BM33" s="411">
        <f t="shared" si="24"/>
        <v>1487.5</v>
      </c>
      <c r="BN33" s="411">
        <f t="shared" si="24"/>
        <v>1487.5</v>
      </c>
      <c r="BO33" s="411">
        <f t="shared" si="24"/>
        <v>1487.5</v>
      </c>
      <c r="BP33" s="411">
        <f t="shared" si="24"/>
        <v>1487.5</v>
      </c>
      <c r="BQ33" s="411">
        <f t="shared" si="24"/>
        <v>1487.5</v>
      </c>
      <c r="BR33" s="411">
        <f t="shared" si="24"/>
        <v>1487.5</v>
      </c>
      <c r="BS33" s="411">
        <f t="shared" si="24"/>
        <v>1487.5</v>
      </c>
      <c r="BT33" s="411">
        <f t="shared" ref="BT33:CM33" si="25">$D$33*BT16</f>
        <v>1487.5</v>
      </c>
      <c r="BU33" s="411">
        <f t="shared" si="25"/>
        <v>1487.5</v>
      </c>
      <c r="BV33" s="411">
        <f t="shared" si="25"/>
        <v>1487.5</v>
      </c>
      <c r="BW33" s="411">
        <f t="shared" si="25"/>
        <v>1487.5</v>
      </c>
      <c r="BX33" s="411">
        <f t="shared" si="25"/>
        <v>1487.5</v>
      </c>
      <c r="BY33" s="411">
        <f t="shared" si="25"/>
        <v>1487.5</v>
      </c>
      <c r="BZ33" s="411">
        <f t="shared" si="25"/>
        <v>1487.5</v>
      </c>
      <c r="CA33" s="411">
        <f t="shared" si="25"/>
        <v>1487.5</v>
      </c>
      <c r="CB33" s="411">
        <f t="shared" si="25"/>
        <v>1487.5</v>
      </c>
      <c r="CC33" s="411">
        <f t="shared" si="25"/>
        <v>1487.5</v>
      </c>
      <c r="CD33" s="411">
        <f t="shared" si="25"/>
        <v>1487.5</v>
      </c>
      <c r="CE33" s="411">
        <f t="shared" si="25"/>
        <v>1487.5</v>
      </c>
      <c r="CF33" s="411">
        <f t="shared" si="25"/>
        <v>1487.5</v>
      </c>
      <c r="CG33" s="411">
        <f t="shared" si="25"/>
        <v>1487.5</v>
      </c>
      <c r="CH33" s="411">
        <f t="shared" si="25"/>
        <v>1487.5</v>
      </c>
      <c r="CI33" s="411">
        <f t="shared" si="25"/>
        <v>1487.5</v>
      </c>
      <c r="CJ33" s="411">
        <f t="shared" si="25"/>
        <v>1487.5</v>
      </c>
      <c r="CK33" s="411">
        <f t="shared" si="25"/>
        <v>1487.5</v>
      </c>
      <c r="CL33" s="411">
        <f t="shared" si="25"/>
        <v>1487.5</v>
      </c>
      <c r="CM33" s="411">
        <f t="shared" si="25"/>
        <v>1487.5</v>
      </c>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c r="ER33" s="58"/>
      <c r="ES33" s="58"/>
      <c r="ET33" s="58"/>
      <c r="EU33" s="58"/>
      <c r="EV33" s="58"/>
      <c r="EW33" s="58"/>
      <c r="EX33" s="58"/>
      <c r="EY33" s="58"/>
      <c r="EZ33" s="58"/>
      <c r="FA33" s="58"/>
      <c r="FB33" s="58"/>
      <c r="FC33" s="58"/>
      <c r="FD33" s="58"/>
      <c r="FE33" s="58"/>
      <c r="FF33" s="58"/>
      <c r="FG33" s="58"/>
      <c r="FH33" s="58"/>
      <c r="FI33" s="58"/>
      <c r="FJ33" s="58"/>
      <c r="FK33" s="58"/>
      <c r="FL33" s="58"/>
      <c r="FM33" s="58"/>
      <c r="FN33" s="58"/>
      <c r="FO33" s="58"/>
      <c r="FP33" s="58"/>
      <c r="FQ33" s="58"/>
      <c r="FR33" s="58"/>
      <c r="FS33" s="58"/>
      <c r="FT33" s="58"/>
      <c r="FU33" s="58"/>
      <c r="FV33" s="58"/>
    </row>
    <row r="34" spans="1:179">
      <c r="A34" s="1051"/>
      <c r="B34" s="224" t="s">
        <v>309</v>
      </c>
      <c r="C34" s="367" t="s">
        <v>310</v>
      </c>
      <c r="D34" s="416">
        <f>1.50375/1000</f>
        <v>1.5037499999999999E-3</v>
      </c>
      <c r="E34" s="236"/>
      <c r="F34" s="417" t="s">
        <v>178</v>
      </c>
      <c r="G34" s="418">
        <v>166.44858374999998</v>
      </c>
      <c r="H34" s="418">
        <v>166.44858374999998</v>
      </c>
      <c r="I34" s="418">
        <v>166.44858374999998</v>
      </c>
      <c r="J34" s="418">
        <v>166.44858374999998</v>
      </c>
      <c r="K34" s="418">
        <v>166.44858374999998</v>
      </c>
      <c r="L34" s="418">
        <v>166.44858374999998</v>
      </c>
      <c r="M34" s="418">
        <v>166.44858374999998</v>
      </c>
      <c r="N34" s="418">
        <v>166.44858374999998</v>
      </c>
      <c r="O34" s="418">
        <v>166.44858374999998</v>
      </c>
      <c r="P34" s="418">
        <v>166.44858374999998</v>
      </c>
      <c r="Q34" s="418">
        <v>166.44858374999998</v>
      </c>
      <c r="R34" s="418">
        <v>166.44858374999998</v>
      </c>
      <c r="S34" s="418">
        <v>166.44858374999998</v>
      </c>
      <c r="T34" s="418">
        <f t="shared" ref="T34:AS34" si="26">T17*$D$34</f>
        <v>137.652021875</v>
      </c>
      <c r="U34" s="418">
        <f t="shared" si="26"/>
        <v>137.652021875</v>
      </c>
      <c r="V34" s="418">
        <f t="shared" si="26"/>
        <v>137.652021875</v>
      </c>
      <c r="W34" s="418">
        <f t="shared" si="26"/>
        <v>137.652021875</v>
      </c>
      <c r="X34" s="418">
        <f t="shared" si="26"/>
        <v>137.652021875</v>
      </c>
      <c r="Y34" s="418">
        <f t="shared" si="26"/>
        <v>137.652021875</v>
      </c>
      <c r="Z34" s="418">
        <f t="shared" si="26"/>
        <v>137.652021875</v>
      </c>
      <c r="AA34" s="418">
        <f t="shared" si="26"/>
        <v>137.652021875</v>
      </c>
      <c r="AB34" s="418">
        <f t="shared" si="26"/>
        <v>137.652021875</v>
      </c>
      <c r="AC34" s="418">
        <f t="shared" si="26"/>
        <v>137.652021875</v>
      </c>
      <c r="AD34" s="418">
        <f t="shared" si="26"/>
        <v>137.652021875</v>
      </c>
      <c r="AE34" s="418">
        <f t="shared" si="26"/>
        <v>137.652021875</v>
      </c>
      <c r="AF34" s="418">
        <f t="shared" si="26"/>
        <v>137.652021875</v>
      </c>
      <c r="AG34" s="418">
        <f t="shared" si="26"/>
        <v>137.652021875</v>
      </c>
      <c r="AH34" s="418">
        <f t="shared" si="26"/>
        <v>137.652021875</v>
      </c>
      <c r="AI34" s="418">
        <f t="shared" si="26"/>
        <v>137.652021875</v>
      </c>
      <c r="AJ34" s="418">
        <f t="shared" si="26"/>
        <v>137.652021875</v>
      </c>
      <c r="AK34" s="418">
        <f t="shared" si="26"/>
        <v>137.652021875</v>
      </c>
      <c r="AL34" s="418">
        <f t="shared" si="26"/>
        <v>137.652021875</v>
      </c>
      <c r="AM34" s="418">
        <f t="shared" si="26"/>
        <v>137.652021875</v>
      </c>
      <c r="AN34" s="418">
        <f t="shared" si="26"/>
        <v>137.652021875</v>
      </c>
      <c r="AO34" s="418">
        <f t="shared" si="26"/>
        <v>137.652021875</v>
      </c>
      <c r="AP34" s="418">
        <f t="shared" si="26"/>
        <v>137.652021875</v>
      </c>
      <c r="AQ34" s="418">
        <f t="shared" si="26"/>
        <v>137.652021875</v>
      </c>
      <c r="AR34" s="418">
        <f t="shared" si="26"/>
        <v>137.652021875</v>
      </c>
      <c r="AS34" s="418">
        <f t="shared" si="26"/>
        <v>137.652021875</v>
      </c>
      <c r="AT34" s="418">
        <f>AT17*$D$34</f>
        <v>137.652021875</v>
      </c>
      <c r="AU34" s="419">
        <f t="shared" ref="AU34:CL34" si="27">AU17*$D$34</f>
        <v>137.652021875</v>
      </c>
      <c r="AV34" s="419">
        <f t="shared" si="27"/>
        <v>137.652021875</v>
      </c>
      <c r="AW34" s="419">
        <f t="shared" si="27"/>
        <v>137.652021875</v>
      </c>
      <c r="AX34" s="419">
        <f t="shared" si="27"/>
        <v>137.652021875</v>
      </c>
      <c r="AY34" s="419">
        <f t="shared" si="27"/>
        <v>137.652021875</v>
      </c>
      <c r="AZ34" s="419">
        <f t="shared" si="27"/>
        <v>137.652021875</v>
      </c>
      <c r="BA34" s="419">
        <f t="shared" si="27"/>
        <v>137.652021875</v>
      </c>
      <c r="BB34" s="419">
        <f t="shared" si="27"/>
        <v>137.652021875</v>
      </c>
      <c r="BC34" s="419">
        <f t="shared" si="27"/>
        <v>137.652021875</v>
      </c>
      <c r="BD34" s="419">
        <f t="shared" si="27"/>
        <v>137.652021875</v>
      </c>
      <c r="BE34" s="419">
        <f t="shared" si="27"/>
        <v>137.652021875</v>
      </c>
      <c r="BF34" s="419">
        <f t="shared" si="27"/>
        <v>137.652021875</v>
      </c>
      <c r="BG34" s="419">
        <f t="shared" si="27"/>
        <v>137.652021875</v>
      </c>
      <c r="BH34" s="419">
        <f t="shared" si="27"/>
        <v>137.652021875</v>
      </c>
      <c r="BI34" s="419">
        <f t="shared" si="27"/>
        <v>137.652021875</v>
      </c>
      <c r="BJ34" s="419">
        <f t="shared" si="27"/>
        <v>137.652021875</v>
      </c>
      <c r="BK34" s="419">
        <f t="shared" si="27"/>
        <v>137.652021875</v>
      </c>
      <c r="BL34" s="419">
        <f t="shared" si="27"/>
        <v>137.652021875</v>
      </c>
      <c r="BM34" s="419">
        <f t="shared" si="27"/>
        <v>137.652021875</v>
      </c>
      <c r="BN34" s="419">
        <f t="shared" si="27"/>
        <v>137.652021875</v>
      </c>
      <c r="BO34" s="419">
        <f t="shared" si="27"/>
        <v>137.652021875</v>
      </c>
      <c r="BP34" s="419">
        <f t="shared" si="27"/>
        <v>137.652021875</v>
      </c>
      <c r="BQ34" s="419">
        <f t="shared" si="27"/>
        <v>137.652021875</v>
      </c>
      <c r="BR34" s="419">
        <f t="shared" si="27"/>
        <v>137.652021875</v>
      </c>
      <c r="BS34" s="419">
        <f t="shared" si="27"/>
        <v>137.652021875</v>
      </c>
      <c r="BT34" s="419">
        <f t="shared" si="27"/>
        <v>137.652021875</v>
      </c>
      <c r="BU34" s="419">
        <f t="shared" si="27"/>
        <v>137.652021875</v>
      </c>
      <c r="BV34" s="419">
        <f t="shared" si="27"/>
        <v>137.652021875</v>
      </c>
      <c r="BW34" s="419">
        <f t="shared" si="27"/>
        <v>137.652021875</v>
      </c>
      <c r="BX34" s="419">
        <f t="shared" si="27"/>
        <v>137.652021875</v>
      </c>
      <c r="BY34" s="419">
        <f t="shared" si="27"/>
        <v>137.652021875</v>
      </c>
      <c r="BZ34" s="419">
        <f t="shared" si="27"/>
        <v>137.652021875</v>
      </c>
      <c r="CA34" s="419">
        <f t="shared" si="27"/>
        <v>137.652021875</v>
      </c>
      <c r="CB34" s="419">
        <f t="shared" si="27"/>
        <v>137.652021875</v>
      </c>
      <c r="CC34" s="419">
        <f t="shared" si="27"/>
        <v>137.652021875</v>
      </c>
      <c r="CD34" s="419">
        <f t="shared" si="27"/>
        <v>137.652021875</v>
      </c>
      <c r="CE34" s="419">
        <f t="shared" si="27"/>
        <v>137.652021875</v>
      </c>
      <c r="CF34" s="419">
        <f t="shared" si="27"/>
        <v>137.652021875</v>
      </c>
      <c r="CG34" s="419">
        <f t="shared" si="27"/>
        <v>137.652021875</v>
      </c>
      <c r="CH34" s="419">
        <f t="shared" si="27"/>
        <v>137.652021875</v>
      </c>
      <c r="CI34" s="419">
        <f t="shared" si="27"/>
        <v>137.652021875</v>
      </c>
      <c r="CJ34" s="419">
        <f t="shared" si="27"/>
        <v>137.652021875</v>
      </c>
      <c r="CK34" s="419">
        <f t="shared" si="27"/>
        <v>137.652021875</v>
      </c>
      <c r="CL34" s="420">
        <f t="shared" si="27"/>
        <v>137.652021875</v>
      </c>
      <c r="CM34" s="363">
        <f t="shared" si="15"/>
        <v>142.1086326413689</v>
      </c>
      <c r="CN34" s="58"/>
      <c r="CO34" s="421">
        <v>41883</v>
      </c>
      <c r="CP34" s="421">
        <v>41913</v>
      </c>
      <c r="CQ34" s="421">
        <v>41944</v>
      </c>
      <c r="CR34" s="421">
        <v>41974</v>
      </c>
      <c r="CS34" s="421">
        <v>42005</v>
      </c>
      <c r="CT34" s="421">
        <v>42036</v>
      </c>
      <c r="CU34" s="421">
        <v>42064</v>
      </c>
      <c r="CV34" s="421">
        <v>42095</v>
      </c>
      <c r="CW34" s="421">
        <v>42125</v>
      </c>
      <c r="CX34" s="421">
        <v>42156</v>
      </c>
      <c r="CY34" s="421">
        <v>42186</v>
      </c>
      <c r="CZ34" s="421">
        <v>42217</v>
      </c>
      <c r="DA34" s="421">
        <v>42248</v>
      </c>
      <c r="DB34" s="421">
        <v>42278</v>
      </c>
      <c r="DC34" s="421">
        <v>42309</v>
      </c>
      <c r="DD34" s="421">
        <v>42339</v>
      </c>
      <c r="DE34" s="421">
        <v>42370</v>
      </c>
      <c r="DF34" s="421">
        <v>42401</v>
      </c>
      <c r="DG34" s="421">
        <v>42430</v>
      </c>
      <c r="DH34" s="421">
        <v>42461</v>
      </c>
      <c r="DI34" s="421">
        <v>42491</v>
      </c>
      <c r="DJ34" s="421">
        <v>42522</v>
      </c>
      <c r="DK34" s="421">
        <v>42552</v>
      </c>
      <c r="DL34" s="421">
        <v>42583</v>
      </c>
      <c r="DM34" s="421">
        <v>42614</v>
      </c>
      <c r="DN34" s="421">
        <v>42644</v>
      </c>
      <c r="DO34" s="421">
        <v>42675</v>
      </c>
      <c r="DP34" s="421">
        <v>42705</v>
      </c>
      <c r="DQ34" s="421">
        <v>42736</v>
      </c>
      <c r="DR34" s="421">
        <v>42767</v>
      </c>
      <c r="DS34" s="421">
        <v>42795</v>
      </c>
      <c r="DT34" s="421">
        <v>42826</v>
      </c>
      <c r="DU34" s="421">
        <v>42856</v>
      </c>
      <c r="DV34" s="421">
        <v>42887</v>
      </c>
      <c r="DW34" s="421">
        <v>42917</v>
      </c>
      <c r="DX34" s="421">
        <v>42948</v>
      </c>
      <c r="DY34" s="421">
        <v>42979</v>
      </c>
      <c r="DZ34" s="421">
        <v>43009</v>
      </c>
      <c r="EA34" s="421">
        <v>43040</v>
      </c>
      <c r="EB34" s="421">
        <v>43070</v>
      </c>
      <c r="EC34" s="421">
        <v>43101</v>
      </c>
      <c r="ED34" s="421">
        <v>43132</v>
      </c>
      <c r="EE34" s="421">
        <v>43160</v>
      </c>
      <c r="EF34" s="421">
        <v>43191</v>
      </c>
      <c r="EG34" s="421">
        <v>43221</v>
      </c>
      <c r="EH34" s="421">
        <v>43252</v>
      </c>
      <c r="EI34" s="421">
        <v>43282</v>
      </c>
      <c r="EJ34" s="421">
        <v>43313</v>
      </c>
      <c r="EK34" s="421">
        <v>43344</v>
      </c>
      <c r="EL34" s="421">
        <v>43374</v>
      </c>
      <c r="EM34" s="421">
        <v>43405</v>
      </c>
      <c r="EN34" s="421">
        <v>43435</v>
      </c>
      <c r="EO34" s="421">
        <v>43466</v>
      </c>
      <c r="EP34" s="421">
        <v>43497</v>
      </c>
      <c r="EQ34" s="421">
        <v>43525</v>
      </c>
      <c r="ER34" s="421">
        <v>43556</v>
      </c>
      <c r="ES34" s="421">
        <v>43586</v>
      </c>
      <c r="ET34" s="421">
        <v>43617</v>
      </c>
      <c r="EU34" s="421">
        <v>43647</v>
      </c>
      <c r="EV34" s="421">
        <v>43678</v>
      </c>
      <c r="EW34" s="421">
        <v>43709</v>
      </c>
      <c r="EX34" s="421">
        <v>43739</v>
      </c>
      <c r="EY34" s="421">
        <v>43770</v>
      </c>
      <c r="EZ34" s="421">
        <v>43800</v>
      </c>
      <c r="FA34" s="421">
        <v>43831</v>
      </c>
      <c r="FB34" s="421">
        <v>43862</v>
      </c>
      <c r="FC34" s="421">
        <v>43891</v>
      </c>
      <c r="FD34" s="421">
        <v>43922</v>
      </c>
      <c r="FE34" s="421">
        <v>43952</v>
      </c>
      <c r="FF34" s="421">
        <v>43983</v>
      </c>
      <c r="FG34" s="421">
        <v>44013</v>
      </c>
      <c r="FH34" s="421">
        <v>44044</v>
      </c>
      <c r="FI34" s="421">
        <v>44075</v>
      </c>
      <c r="FJ34" s="421">
        <v>44105</v>
      </c>
      <c r="FK34" s="421">
        <v>44136</v>
      </c>
      <c r="FL34" s="421">
        <v>44166</v>
      </c>
      <c r="FM34" s="421">
        <v>44197</v>
      </c>
      <c r="FN34" s="421">
        <v>44228</v>
      </c>
      <c r="FO34" s="421">
        <v>44256</v>
      </c>
      <c r="FP34" s="421">
        <v>44287</v>
      </c>
      <c r="FQ34" s="421">
        <v>44317</v>
      </c>
      <c r="FR34" s="421">
        <v>44348</v>
      </c>
      <c r="FS34" s="421">
        <v>44378</v>
      </c>
      <c r="FT34" s="421">
        <v>44409</v>
      </c>
      <c r="FU34" s="421">
        <v>44440</v>
      </c>
      <c r="FV34" s="371"/>
    </row>
    <row r="35" spans="1:179" ht="15" customHeight="1">
      <c r="A35" s="1065" t="s">
        <v>106</v>
      </c>
      <c r="B35" s="398" t="s">
        <v>305</v>
      </c>
      <c r="C35" s="399" t="s">
        <v>310</v>
      </c>
      <c r="D35" s="399">
        <v>1.61</v>
      </c>
      <c r="E35" s="1058" t="s">
        <v>313</v>
      </c>
      <c r="F35" s="422" t="s">
        <v>141</v>
      </c>
      <c r="G35" s="423">
        <f t="shared" ref="G35:R35" si="28">$D$35*G17</f>
        <v>147378.05833333335</v>
      </c>
      <c r="H35" s="423">
        <f t="shared" si="28"/>
        <v>147378.05833333335</v>
      </c>
      <c r="I35" s="423">
        <f t="shared" si="28"/>
        <v>147378.05833333335</v>
      </c>
      <c r="J35" s="423">
        <f t="shared" si="28"/>
        <v>147378.05833333335</v>
      </c>
      <c r="K35" s="423">
        <f t="shared" si="28"/>
        <v>147378.05833333335</v>
      </c>
      <c r="L35" s="423">
        <f t="shared" si="28"/>
        <v>147378.05833333335</v>
      </c>
      <c r="M35" s="423">
        <f t="shared" si="28"/>
        <v>147378.05833333335</v>
      </c>
      <c r="N35" s="423">
        <f t="shared" si="28"/>
        <v>147378.05833333335</v>
      </c>
      <c r="O35" s="423">
        <f t="shared" si="28"/>
        <v>147378.05833333335</v>
      </c>
      <c r="P35" s="423">
        <f t="shared" si="28"/>
        <v>147378.05833333335</v>
      </c>
      <c r="Q35" s="423">
        <f t="shared" si="28"/>
        <v>147378.05833333335</v>
      </c>
      <c r="R35" s="423">
        <f t="shared" si="28"/>
        <v>147378.05833333335</v>
      </c>
      <c r="S35" s="423">
        <f>$D$35*S17</f>
        <v>147378.05833333335</v>
      </c>
      <c r="T35" s="423">
        <f t="shared" ref="T35:CE35" si="29">$D$35*T17</f>
        <v>147378.05833333335</v>
      </c>
      <c r="U35" s="423">
        <f t="shared" si="29"/>
        <v>147378.05833333335</v>
      </c>
      <c r="V35" s="423">
        <f t="shared" si="29"/>
        <v>147378.05833333335</v>
      </c>
      <c r="W35" s="423">
        <f t="shared" si="29"/>
        <v>147378.05833333335</v>
      </c>
      <c r="X35" s="423">
        <f t="shared" si="29"/>
        <v>147378.05833333335</v>
      </c>
      <c r="Y35" s="423">
        <f t="shared" si="29"/>
        <v>147378.05833333335</v>
      </c>
      <c r="Z35" s="423">
        <f t="shared" si="29"/>
        <v>147378.05833333335</v>
      </c>
      <c r="AA35" s="423">
        <f t="shared" si="29"/>
        <v>147378.05833333335</v>
      </c>
      <c r="AB35" s="423">
        <f t="shared" si="29"/>
        <v>147378.05833333335</v>
      </c>
      <c r="AC35" s="423">
        <f t="shared" si="29"/>
        <v>147378.05833333335</v>
      </c>
      <c r="AD35" s="423">
        <f t="shared" si="29"/>
        <v>147378.05833333335</v>
      </c>
      <c r="AE35" s="423">
        <f t="shared" si="29"/>
        <v>147378.05833333335</v>
      </c>
      <c r="AF35" s="423">
        <f t="shared" si="29"/>
        <v>147378.05833333335</v>
      </c>
      <c r="AG35" s="423">
        <f t="shared" si="29"/>
        <v>147378.05833333335</v>
      </c>
      <c r="AH35" s="423">
        <f t="shared" si="29"/>
        <v>147378.05833333335</v>
      </c>
      <c r="AI35" s="423">
        <f t="shared" si="29"/>
        <v>147378.05833333335</v>
      </c>
      <c r="AJ35" s="423">
        <f t="shared" si="29"/>
        <v>147378.05833333335</v>
      </c>
      <c r="AK35" s="423">
        <f t="shared" si="29"/>
        <v>147378.05833333335</v>
      </c>
      <c r="AL35" s="423">
        <f t="shared" si="29"/>
        <v>147378.05833333335</v>
      </c>
      <c r="AM35" s="423">
        <f t="shared" si="29"/>
        <v>147378.05833333335</v>
      </c>
      <c r="AN35" s="423">
        <f t="shared" si="29"/>
        <v>147378.05833333335</v>
      </c>
      <c r="AO35" s="423">
        <f t="shared" si="29"/>
        <v>147378.05833333335</v>
      </c>
      <c r="AP35" s="423">
        <f t="shared" si="29"/>
        <v>147378.05833333335</v>
      </c>
      <c r="AQ35" s="423">
        <f t="shared" si="29"/>
        <v>147378.05833333335</v>
      </c>
      <c r="AR35" s="423">
        <f t="shared" si="29"/>
        <v>147378.05833333335</v>
      </c>
      <c r="AS35" s="423">
        <f t="shared" si="29"/>
        <v>147378.05833333335</v>
      </c>
      <c r="AT35" s="423">
        <f t="shared" si="29"/>
        <v>147378.05833333335</v>
      </c>
      <c r="AU35" s="424">
        <f t="shared" si="29"/>
        <v>147378.05833333335</v>
      </c>
      <c r="AV35" s="424">
        <f t="shared" si="29"/>
        <v>147378.05833333335</v>
      </c>
      <c r="AW35" s="424">
        <f t="shared" si="29"/>
        <v>147378.05833333335</v>
      </c>
      <c r="AX35" s="424">
        <f t="shared" si="29"/>
        <v>147378.05833333335</v>
      </c>
      <c r="AY35" s="424">
        <f t="shared" si="29"/>
        <v>147378.05833333335</v>
      </c>
      <c r="AZ35" s="424">
        <f t="shared" si="29"/>
        <v>147378.05833333335</v>
      </c>
      <c r="BA35" s="424">
        <f t="shared" si="29"/>
        <v>147378.05833333335</v>
      </c>
      <c r="BB35" s="424">
        <f t="shared" si="29"/>
        <v>147378.05833333335</v>
      </c>
      <c r="BC35" s="424">
        <f t="shared" si="29"/>
        <v>147378.05833333335</v>
      </c>
      <c r="BD35" s="424">
        <f t="shared" si="29"/>
        <v>147378.05833333335</v>
      </c>
      <c r="BE35" s="424">
        <f t="shared" si="29"/>
        <v>147378.05833333335</v>
      </c>
      <c r="BF35" s="424">
        <f t="shared" si="29"/>
        <v>147378.05833333335</v>
      </c>
      <c r="BG35" s="424">
        <f t="shared" si="29"/>
        <v>147378.05833333335</v>
      </c>
      <c r="BH35" s="424">
        <f t="shared" si="29"/>
        <v>147378.05833333335</v>
      </c>
      <c r="BI35" s="424">
        <f t="shared" si="29"/>
        <v>147378.05833333335</v>
      </c>
      <c r="BJ35" s="424">
        <f t="shared" si="29"/>
        <v>147378.05833333335</v>
      </c>
      <c r="BK35" s="424">
        <f t="shared" si="29"/>
        <v>147378.05833333335</v>
      </c>
      <c r="BL35" s="424">
        <f t="shared" si="29"/>
        <v>147378.05833333335</v>
      </c>
      <c r="BM35" s="424">
        <f t="shared" si="29"/>
        <v>147378.05833333335</v>
      </c>
      <c r="BN35" s="424">
        <f t="shared" si="29"/>
        <v>147378.05833333335</v>
      </c>
      <c r="BO35" s="424">
        <f t="shared" si="29"/>
        <v>147378.05833333335</v>
      </c>
      <c r="BP35" s="424">
        <f t="shared" si="29"/>
        <v>147378.05833333335</v>
      </c>
      <c r="BQ35" s="424">
        <f t="shared" si="29"/>
        <v>147378.05833333335</v>
      </c>
      <c r="BR35" s="424">
        <f t="shared" si="29"/>
        <v>147378.05833333335</v>
      </c>
      <c r="BS35" s="424">
        <f t="shared" si="29"/>
        <v>147378.05833333335</v>
      </c>
      <c r="BT35" s="424">
        <f t="shared" si="29"/>
        <v>147378.05833333335</v>
      </c>
      <c r="BU35" s="424">
        <f t="shared" si="29"/>
        <v>147378.05833333335</v>
      </c>
      <c r="BV35" s="424">
        <f t="shared" si="29"/>
        <v>147378.05833333335</v>
      </c>
      <c r="BW35" s="424">
        <f t="shared" si="29"/>
        <v>147378.05833333335</v>
      </c>
      <c r="BX35" s="424">
        <f t="shared" si="29"/>
        <v>147378.05833333335</v>
      </c>
      <c r="BY35" s="424">
        <f t="shared" si="29"/>
        <v>147378.05833333335</v>
      </c>
      <c r="BZ35" s="424">
        <f t="shared" si="29"/>
        <v>147378.05833333335</v>
      </c>
      <c r="CA35" s="424">
        <f t="shared" si="29"/>
        <v>147378.05833333335</v>
      </c>
      <c r="CB35" s="424">
        <f t="shared" si="29"/>
        <v>147378.05833333335</v>
      </c>
      <c r="CC35" s="424">
        <f t="shared" si="29"/>
        <v>147378.05833333335</v>
      </c>
      <c r="CD35" s="424">
        <f t="shared" si="29"/>
        <v>147378.05833333335</v>
      </c>
      <c r="CE35" s="424">
        <f t="shared" si="29"/>
        <v>147378.05833333335</v>
      </c>
      <c r="CF35" s="424">
        <f t="shared" ref="CF35:CL35" si="30">$D$35*CF17</f>
        <v>147378.05833333335</v>
      </c>
      <c r="CG35" s="424">
        <f t="shared" si="30"/>
        <v>147378.05833333335</v>
      </c>
      <c r="CH35" s="424">
        <f t="shared" si="30"/>
        <v>147378.05833333335</v>
      </c>
      <c r="CI35" s="424">
        <f t="shared" si="30"/>
        <v>147378.05833333335</v>
      </c>
      <c r="CJ35" s="424">
        <f t="shared" si="30"/>
        <v>147378.05833333335</v>
      </c>
      <c r="CK35" s="424">
        <f t="shared" si="30"/>
        <v>147378.05833333335</v>
      </c>
      <c r="CL35" s="422">
        <f t="shared" si="30"/>
        <v>147378.05833333335</v>
      </c>
      <c r="CM35" s="425">
        <f t="shared" si="15"/>
        <v>147378.05833333352</v>
      </c>
      <c r="CN35" s="426" t="s">
        <v>316</v>
      </c>
      <c r="CO35" s="427">
        <v>6.12</v>
      </c>
      <c r="CP35" s="427">
        <v>6.12</v>
      </c>
      <c r="CQ35" s="427">
        <v>6.12</v>
      </c>
      <c r="CR35" s="427">
        <v>6.12</v>
      </c>
      <c r="CS35" s="427">
        <v>6.24</v>
      </c>
      <c r="CT35" s="427">
        <v>6.24</v>
      </c>
      <c r="CU35" s="427">
        <v>6.28</v>
      </c>
      <c r="CV35" s="427">
        <v>6.28</v>
      </c>
      <c r="CW35" s="427">
        <v>6.32</v>
      </c>
      <c r="CX35" s="427">
        <v>6.32</v>
      </c>
      <c r="CY35" s="427">
        <v>6.47</v>
      </c>
      <c r="CZ35" s="427">
        <v>6.47</v>
      </c>
      <c r="DA35" s="427">
        <v>6.47</v>
      </c>
      <c r="DB35" s="427">
        <v>6.51</v>
      </c>
      <c r="DC35" s="427">
        <v>6.6447253073219397</v>
      </c>
      <c r="DD35" s="427">
        <v>6.6592391374311397</v>
      </c>
      <c r="DE35" s="427">
        <v>6.6737529675403398</v>
      </c>
      <c r="DF35" s="427">
        <v>6.6882667976495496</v>
      </c>
      <c r="DG35" s="427">
        <v>6.7027806277587496</v>
      </c>
      <c r="DH35" s="427">
        <v>6.7172944578679497</v>
      </c>
      <c r="DI35" s="427">
        <v>6.7318082879771604</v>
      </c>
      <c r="DJ35" s="427">
        <v>6.7463221180863604</v>
      </c>
      <c r="DK35" s="427">
        <v>6.7608359481955604</v>
      </c>
      <c r="DL35" s="427">
        <v>6.7753497783047703</v>
      </c>
      <c r="DM35" s="427">
        <v>6.7898636084139703</v>
      </c>
      <c r="DN35" s="427">
        <v>6.91</v>
      </c>
      <c r="DO35" s="427">
        <v>6.8188912686323802</v>
      </c>
      <c r="DP35" s="427">
        <v>6.86</v>
      </c>
      <c r="DQ35" s="427">
        <v>6.8479189288507802</v>
      </c>
      <c r="DR35" s="427">
        <v>6.8624327589599803</v>
      </c>
      <c r="DS35" s="427">
        <v>6.8769465890691901</v>
      </c>
      <c r="DT35" s="427">
        <v>6.8914604191783901</v>
      </c>
      <c r="DU35" s="427">
        <v>6.9059742492875902</v>
      </c>
      <c r="DV35" s="427">
        <v>6.9204880793968</v>
      </c>
      <c r="DW35" s="427">
        <v>6.935001909506</v>
      </c>
      <c r="DX35" s="427">
        <v>6.9495157396152001</v>
      </c>
      <c r="DY35" s="427">
        <v>6.9640295697244099</v>
      </c>
      <c r="DZ35" s="427">
        <v>6.9785433998336099</v>
      </c>
      <c r="EA35" s="427">
        <v>6.99305722994281</v>
      </c>
      <c r="EB35" s="427">
        <v>7.0075710600520198</v>
      </c>
      <c r="EC35" s="427">
        <v>5.2450000000000001</v>
      </c>
      <c r="ED35" s="427">
        <v>7.48</v>
      </c>
      <c r="EE35" s="427">
        <v>7.6002255138846202</v>
      </c>
      <c r="EF35" s="427">
        <v>6.65</v>
      </c>
      <c r="EG35" s="427">
        <v>6.77</v>
      </c>
      <c r="EH35" s="427">
        <v>6.83</v>
      </c>
      <c r="EI35" s="427">
        <v>8.23</v>
      </c>
      <c r="EJ35" s="427">
        <v>8.2200000000000006</v>
      </c>
      <c r="EK35" s="427">
        <v>7.32</v>
      </c>
      <c r="EL35" s="427">
        <v>8.18</v>
      </c>
      <c r="EM35" s="427">
        <v>7.53</v>
      </c>
      <c r="EN35" s="427">
        <v>7.13</v>
      </c>
      <c r="EO35" s="427">
        <v>6.42</v>
      </c>
      <c r="EP35" s="427">
        <v>7.18</v>
      </c>
      <c r="EQ35" s="427">
        <v>6.07</v>
      </c>
      <c r="ER35" s="427">
        <v>4.8415999999999997</v>
      </c>
      <c r="ES35" s="427">
        <v>4.8899999999999997</v>
      </c>
      <c r="ET35" s="427">
        <v>5.4</v>
      </c>
      <c r="EU35" s="427">
        <v>5.84</v>
      </c>
      <c r="EV35" s="427">
        <v>5.76</v>
      </c>
      <c r="EW35" s="427">
        <v>5.46</v>
      </c>
      <c r="EX35" s="427">
        <v>6.36</v>
      </c>
      <c r="EY35" s="427">
        <v>6.17</v>
      </c>
      <c r="EZ35" s="427">
        <v>6.84</v>
      </c>
      <c r="FA35" s="427">
        <v>5.67</v>
      </c>
      <c r="FB35" s="427">
        <v>5.33</v>
      </c>
      <c r="FC35" s="427">
        <v>3.69</v>
      </c>
      <c r="FD35" s="427">
        <v>4.9800000000000004</v>
      </c>
      <c r="FE35" s="427">
        <v>4.4800000000000004</v>
      </c>
      <c r="FF35" s="427">
        <v>3</v>
      </c>
      <c r="FG35" s="427">
        <v>2.6</v>
      </c>
      <c r="FH35" s="427">
        <v>3.43</v>
      </c>
      <c r="FI35" s="427">
        <v>4.3499999999999996</v>
      </c>
      <c r="FJ35" s="427">
        <v>4.68</v>
      </c>
      <c r="FK35" s="427">
        <v>5.0999999999999996</v>
      </c>
      <c r="FL35" s="427">
        <v>6.03</v>
      </c>
      <c r="FM35" s="427">
        <v>6.67</v>
      </c>
      <c r="FN35" s="427">
        <v>8.02</v>
      </c>
      <c r="FO35" s="427">
        <v>7.23</v>
      </c>
      <c r="FP35" s="427">
        <v>5.36</v>
      </c>
      <c r="FQ35" s="427">
        <v>5.15</v>
      </c>
      <c r="FR35" s="427">
        <v>5.64</v>
      </c>
      <c r="FS35" s="427">
        <v>6.42</v>
      </c>
      <c r="FT35" s="427">
        <v>7.17</v>
      </c>
      <c r="FU35" s="427">
        <v>7.47</v>
      </c>
      <c r="FV35" s="428">
        <f t="shared" ref="FV35:FV42" si="31">AVERAGE(EC35:FU35)</f>
        <v>6.0197072336418813</v>
      </c>
      <c r="FW35" s="312"/>
    </row>
    <row r="36" spans="1:179">
      <c r="A36" s="1066"/>
      <c r="B36" s="398" t="s">
        <v>305</v>
      </c>
      <c r="C36" s="399" t="s">
        <v>310</v>
      </c>
      <c r="D36" s="399">
        <v>514.32000000000005</v>
      </c>
      <c r="E36" s="1058"/>
      <c r="F36" s="422" t="s">
        <v>132</v>
      </c>
      <c r="G36" s="423">
        <f t="shared" ref="G36:BR36" si="32">$D$36*G17</f>
        <v>47080424.20000001</v>
      </c>
      <c r="H36" s="423">
        <f t="shared" si="32"/>
        <v>47080424.20000001</v>
      </c>
      <c r="I36" s="423">
        <f t="shared" si="32"/>
        <v>47080424.20000001</v>
      </c>
      <c r="J36" s="423">
        <f t="shared" si="32"/>
        <v>47080424.20000001</v>
      </c>
      <c r="K36" s="423">
        <f t="shared" si="32"/>
        <v>47080424.20000001</v>
      </c>
      <c r="L36" s="423">
        <f t="shared" si="32"/>
        <v>47080424.20000001</v>
      </c>
      <c r="M36" s="423">
        <f t="shared" si="32"/>
        <v>47080424.20000001</v>
      </c>
      <c r="N36" s="423">
        <f t="shared" si="32"/>
        <v>47080424.20000001</v>
      </c>
      <c r="O36" s="423">
        <f t="shared" si="32"/>
        <v>47080424.20000001</v>
      </c>
      <c r="P36" s="423">
        <f t="shared" si="32"/>
        <v>47080424.20000001</v>
      </c>
      <c r="Q36" s="423">
        <f t="shared" si="32"/>
        <v>47080424.20000001</v>
      </c>
      <c r="R36" s="423">
        <f t="shared" si="32"/>
        <v>47080424.20000001</v>
      </c>
      <c r="S36" s="423">
        <f t="shared" si="32"/>
        <v>47080424.20000001</v>
      </c>
      <c r="T36" s="423">
        <f t="shared" si="32"/>
        <v>47080424.20000001</v>
      </c>
      <c r="U36" s="423">
        <f t="shared" si="32"/>
        <v>47080424.20000001</v>
      </c>
      <c r="V36" s="423">
        <f t="shared" si="32"/>
        <v>47080424.20000001</v>
      </c>
      <c r="W36" s="423">
        <f t="shared" si="32"/>
        <v>47080424.20000001</v>
      </c>
      <c r="X36" s="423">
        <f t="shared" si="32"/>
        <v>47080424.20000001</v>
      </c>
      <c r="Y36" s="423">
        <f t="shared" si="32"/>
        <v>47080424.20000001</v>
      </c>
      <c r="Z36" s="423">
        <f t="shared" si="32"/>
        <v>47080424.20000001</v>
      </c>
      <c r="AA36" s="423">
        <f t="shared" si="32"/>
        <v>47080424.20000001</v>
      </c>
      <c r="AB36" s="423">
        <f t="shared" si="32"/>
        <v>47080424.20000001</v>
      </c>
      <c r="AC36" s="423">
        <f t="shared" si="32"/>
        <v>47080424.20000001</v>
      </c>
      <c r="AD36" s="423">
        <f t="shared" si="32"/>
        <v>47080424.20000001</v>
      </c>
      <c r="AE36" s="423">
        <f t="shared" si="32"/>
        <v>47080424.20000001</v>
      </c>
      <c r="AF36" s="423">
        <f t="shared" si="32"/>
        <v>47080424.20000001</v>
      </c>
      <c r="AG36" s="423">
        <f t="shared" si="32"/>
        <v>47080424.20000001</v>
      </c>
      <c r="AH36" s="423">
        <f t="shared" si="32"/>
        <v>47080424.20000001</v>
      </c>
      <c r="AI36" s="423">
        <f t="shared" si="32"/>
        <v>47080424.20000001</v>
      </c>
      <c r="AJ36" s="423">
        <f t="shared" si="32"/>
        <v>47080424.20000001</v>
      </c>
      <c r="AK36" s="423">
        <f t="shared" si="32"/>
        <v>47080424.20000001</v>
      </c>
      <c r="AL36" s="423">
        <f t="shared" si="32"/>
        <v>47080424.20000001</v>
      </c>
      <c r="AM36" s="423">
        <f t="shared" si="32"/>
        <v>47080424.20000001</v>
      </c>
      <c r="AN36" s="423">
        <f t="shared" si="32"/>
        <v>47080424.20000001</v>
      </c>
      <c r="AO36" s="423">
        <f t="shared" si="32"/>
        <v>47080424.20000001</v>
      </c>
      <c r="AP36" s="423">
        <f t="shared" si="32"/>
        <v>47080424.20000001</v>
      </c>
      <c r="AQ36" s="423">
        <f t="shared" si="32"/>
        <v>47080424.20000001</v>
      </c>
      <c r="AR36" s="423">
        <f t="shared" si="32"/>
        <v>47080424.20000001</v>
      </c>
      <c r="AS36" s="423">
        <f t="shared" si="32"/>
        <v>47080424.20000001</v>
      </c>
      <c r="AT36" s="423">
        <f t="shared" si="32"/>
        <v>47080424.20000001</v>
      </c>
      <c r="AU36" s="424">
        <f t="shared" si="32"/>
        <v>47080424.20000001</v>
      </c>
      <c r="AV36" s="424">
        <f t="shared" si="32"/>
        <v>47080424.20000001</v>
      </c>
      <c r="AW36" s="424">
        <f t="shared" si="32"/>
        <v>47080424.20000001</v>
      </c>
      <c r="AX36" s="424">
        <f t="shared" si="32"/>
        <v>47080424.20000001</v>
      </c>
      <c r="AY36" s="424">
        <f t="shared" si="32"/>
        <v>47080424.20000001</v>
      </c>
      <c r="AZ36" s="424">
        <f t="shared" si="32"/>
        <v>47080424.20000001</v>
      </c>
      <c r="BA36" s="424">
        <f t="shared" si="32"/>
        <v>47080424.20000001</v>
      </c>
      <c r="BB36" s="424">
        <f t="shared" si="32"/>
        <v>47080424.20000001</v>
      </c>
      <c r="BC36" s="424">
        <f t="shared" si="32"/>
        <v>47080424.20000001</v>
      </c>
      <c r="BD36" s="424">
        <f t="shared" si="32"/>
        <v>47080424.20000001</v>
      </c>
      <c r="BE36" s="424">
        <f t="shared" si="32"/>
        <v>47080424.20000001</v>
      </c>
      <c r="BF36" s="424">
        <f t="shared" si="32"/>
        <v>47080424.20000001</v>
      </c>
      <c r="BG36" s="424">
        <f t="shared" si="32"/>
        <v>47080424.20000001</v>
      </c>
      <c r="BH36" s="424">
        <f t="shared" si="32"/>
        <v>47080424.20000001</v>
      </c>
      <c r="BI36" s="424">
        <f t="shared" si="32"/>
        <v>47080424.20000001</v>
      </c>
      <c r="BJ36" s="424">
        <f t="shared" si="32"/>
        <v>47080424.20000001</v>
      </c>
      <c r="BK36" s="424">
        <f t="shared" si="32"/>
        <v>47080424.20000001</v>
      </c>
      <c r="BL36" s="424">
        <f t="shared" si="32"/>
        <v>47080424.20000001</v>
      </c>
      <c r="BM36" s="424">
        <f t="shared" si="32"/>
        <v>47080424.20000001</v>
      </c>
      <c r="BN36" s="424">
        <f t="shared" si="32"/>
        <v>47080424.20000001</v>
      </c>
      <c r="BO36" s="424">
        <f t="shared" si="32"/>
        <v>47080424.20000001</v>
      </c>
      <c r="BP36" s="424">
        <f t="shared" si="32"/>
        <v>47080424.20000001</v>
      </c>
      <c r="BQ36" s="424">
        <f t="shared" si="32"/>
        <v>47080424.20000001</v>
      </c>
      <c r="BR36" s="424">
        <f t="shared" si="32"/>
        <v>47080424.20000001</v>
      </c>
      <c r="BS36" s="424">
        <f t="shared" ref="BS36:CL36" si="33">$D$36*BS17</f>
        <v>47080424.20000001</v>
      </c>
      <c r="BT36" s="424">
        <f t="shared" si="33"/>
        <v>47080424.20000001</v>
      </c>
      <c r="BU36" s="424">
        <f t="shared" si="33"/>
        <v>47080424.20000001</v>
      </c>
      <c r="BV36" s="424">
        <f t="shared" si="33"/>
        <v>47080424.20000001</v>
      </c>
      <c r="BW36" s="424">
        <f t="shared" si="33"/>
        <v>47080424.20000001</v>
      </c>
      <c r="BX36" s="424">
        <f t="shared" si="33"/>
        <v>47080424.20000001</v>
      </c>
      <c r="BY36" s="424">
        <f t="shared" si="33"/>
        <v>47080424.20000001</v>
      </c>
      <c r="BZ36" s="424">
        <f t="shared" si="33"/>
        <v>47080424.20000001</v>
      </c>
      <c r="CA36" s="424">
        <f t="shared" si="33"/>
        <v>47080424.20000001</v>
      </c>
      <c r="CB36" s="424">
        <f t="shared" si="33"/>
        <v>47080424.20000001</v>
      </c>
      <c r="CC36" s="424">
        <f t="shared" si="33"/>
        <v>47080424.20000001</v>
      </c>
      <c r="CD36" s="424">
        <f t="shared" si="33"/>
        <v>47080424.20000001</v>
      </c>
      <c r="CE36" s="424">
        <f t="shared" si="33"/>
        <v>47080424.20000001</v>
      </c>
      <c r="CF36" s="424">
        <f t="shared" si="33"/>
        <v>47080424.20000001</v>
      </c>
      <c r="CG36" s="424">
        <f t="shared" si="33"/>
        <v>47080424.20000001</v>
      </c>
      <c r="CH36" s="424">
        <f t="shared" si="33"/>
        <v>47080424.20000001</v>
      </c>
      <c r="CI36" s="424">
        <f t="shared" si="33"/>
        <v>47080424.20000001</v>
      </c>
      <c r="CJ36" s="424">
        <f t="shared" si="33"/>
        <v>47080424.20000001</v>
      </c>
      <c r="CK36" s="424">
        <f t="shared" si="33"/>
        <v>47080424.20000001</v>
      </c>
      <c r="CL36" s="422">
        <f t="shared" si="33"/>
        <v>47080424.20000001</v>
      </c>
      <c r="CM36" s="397">
        <f t="shared" si="15"/>
        <v>47080424.199999928</v>
      </c>
      <c r="CN36" s="429" t="s">
        <v>317</v>
      </c>
      <c r="CO36" s="430">
        <v>2198.1265252613698</v>
      </c>
      <c r="CP36" s="430">
        <v>2198.1265252613698</v>
      </c>
      <c r="CQ36" s="430">
        <v>2198.1265252613698</v>
      </c>
      <c r="CR36" s="430">
        <v>2198.1265252613698</v>
      </c>
      <c r="CS36" s="430">
        <v>2198.1265252613698</v>
      </c>
      <c r="CT36" s="430">
        <v>2198.1265252613698</v>
      </c>
      <c r="CU36" s="430">
        <v>2198.1265252613698</v>
      </c>
      <c r="CV36" s="430">
        <v>2198.1265252613698</v>
      </c>
      <c r="CW36" s="430">
        <v>2204.6719970040999</v>
      </c>
      <c r="CX36" s="430">
        <v>2198.1265252613698</v>
      </c>
      <c r="CY36" s="430">
        <v>2204.6719970040999</v>
      </c>
      <c r="CZ36" s="430">
        <v>2211.21746874684</v>
      </c>
      <c r="DA36" s="430">
        <v>2217.7629404895802</v>
      </c>
      <c r="DB36" s="430">
        <v>2224.3084122323098</v>
      </c>
      <c r="DC36" s="430">
        <v>2230.8538839750499</v>
      </c>
      <c r="DD36" s="430">
        <v>2237.3993557177901</v>
      </c>
      <c r="DE36" s="430">
        <v>2243.9448274605202</v>
      </c>
      <c r="DF36" s="430">
        <v>2250.4902992032598</v>
      </c>
      <c r="DG36" s="430">
        <v>2257.03577094599</v>
      </c>
      <c r="DH36" s="430">
        <v>2263.5812426887301</v>
      </c>
      <c r="DI36" s="430">
        <v>2270.1267144314702</v>
      </c>
      <c r="DJ36" s="430">
        <v>2276.6721861741999</v>
      </c>
      <c r="DK36" s="430">
        <v>2283.21765791694</v>
      </c>
      <c r="DL36" s="430">
        <v>2289.7631296596801</v>
      </c>
      <c r="DM36" s="430">
        <v>2296.3086014024102</v>
      </c>
      <c r="DN36" s="430">
        <v>2302.8540731451499</v>
      </c>
      <c r="DO36" s="430">
        <v>2309.39954488788</v>
      </c>
      <c r="DP36" s="430">
        <v>2315.9450166306201</v>
      </c>
      <c r="DQ36" s="430">
        <v>2322.4904883733602</v>
      </c>
      <c r="DR36" s="430">
        <v>2329.0359601160899</v>
      </c>
      <c r="DS36" s="430">
        <v>2335.58143185883</v>
      </c>
      <c r="DT36" s="430">
        <v>2342.1269036015701</v>
      </c>
      <c r="DU36" s="430">
        <v>2348.6723753442998</v>
      </c>
      <c r="DV36" s="430">
        <v>2355.2178470870399</v>
      </c>
      <c r="DW36" s="430">
        <v>2361.76331882977</v>
      </c>
      <c r="DX36" s="430">
        <v>2368.3087905725101</v>
      </c>
      <c r="DY36" s="430">
        <v>2374.8542623152498</v>
      </c>
      <c r="DZ36" s="430">
        <v>2381.3997340579799</v>
      </c>
      <c r="EA36" s="430">
        <v>2387.94520580072</v>
      </c>
      <c r="EB36" s="430">
        <v>2394.4906775434602</v>
      </c>
      <c r="EC36" s="430">
        <v>1659</v>
      </c>
      <c r="ED36" s="430">
        <v>2237</v>
      </c>
      <c r="EE36" s="430">
        <v>2255.1410444563789</v>
      </c>
      <c r="EF36" s="430">
        <v>2146.2487431145209</v>
      </c>
      <c r="EG36" s="430">
        <v>2418.3910474276554</v>
      </c>
      <c r="EH36" s="430">
        <v>2701.6199743644243</v>
      </c>
      <c r="EI36" s="430">
        <v>2777.0407045596344</v>
      </c>
      <c r="EJ36" s="430">
        <v>2836.6205896021006</v>
      </c>
      <c r="EK36" s="430">
        <v>2780.2581602607625</v>
      </c>
      <c r="EL36" s="430">
        <v>3053.926570501239</v>
      </c>
      <c r="EM36" s="430">
        <v>2836.1664048306907</v>
      </c>
      <c r="EN36" s="430">
        <v>2611.932049598453</v>
      </c>
      <c r="EO36" s="430">
        <v>2577.919484614094</v>
      </c>
      <c r="EP36" s="430">
        <v>2856.2006891112787</v>
      </c>
      <c r="EQ36" s="430">
        <v>2469.3423214225581</v>
      </c>
      <c r="ER36" s="430">
        <v>2091.94</v>
      </c>
      <c r="ES36" s="430">
        <v>2025.12</v>
      </c>
      <c r="ET36" s="430">
        <v>2197.69</v>
      </c>
      <c r="EU36" s="430">
        <v>2450.21</v>
      </c>
      <c r="EV36" s="430">
        <v>2188.85</v>
      </c>
      <c r="EW36" s="430">
        <v>2098.58</v>
      </c>
      <c r="EX36" s="430">
        <v>2650.93</v>
      </c>
      <c r="EY36" s="430">
        <v>2588.92</v>
      </c>
      <c r="EZ36" s="430">
        <v>2922.37</v>
      </c>
      <c r="FA36" s="430">
        <v>2398.6999999999998</v>
      </c>
      <c r="FB36" s="430">
        <v>2269.4</v>
      </c>
      <c r="FC36" s="430">
        <v>1425.69</v>
      </c>
      <c r="FD36" s="430">
        <v>1908.42</v>
      </c>
      <c r="FE36" s="430">
        <v>1785.56</v>
      </c>
      <c r="FF36" s="430">
        <v>1111.8399999999999</v>
      </c>
      <c r="FG36" s="430">
        <v>1033.04</v>
      </c>
      <c r="FH36" s="430">
        <v>1321.01</v>
      </c>
      <c r="FI36" s="430">
        <v>1668.98</v>
      </c>
      <c r="FJ36" s="430">
        <v>1783.8</v>
      </c>
      <c r="FK36" s="430">
        <v>2035.2</v>
      </c>
      <c r="FL36" s="430">
        <v>2259.19</v>
      </c>
      <c r="FM36" s="430">
        <v>2699.1</v>
      </c>
      <c r="FN36" s="430">
        <v>3294.54</v>
      </c>
      <c r="FO36" s="430">
        <v>2840.46</v>
      </c>
      <c r="FP36" s="430">
        <v>2266.15</v>
      </c>
      <c r="FQ36" s="430">
        <v>2243.14</v>
      </c>
      <c r="FR36" s="430">
        <v>2506.4699999999998</v>
      </c>
      <c r="FS36" s="430">
        <v>2911.57</v>
      </c>
      <c r="FT36" s="430">
        <v>3467.2</v>
      </c>
      <c r="FU36" s="430">
        <v>3800.16</v>
      </c>
      <c r="FV36" s="271">
        <f t="shared" si="31"/>
        <v>2365.8008396414175</v>
      </c>
      <c r="FW36" s="312"/>
    </row>
    <row r="37" spans="1:179">
      <c r="A37" s="1066"/>
      <c r="B37" s="398" t="s">
        <v>305</v>
      </c>
      <c r="C37" s="399" t="s">
        <v>310</v>
      </c>
      <c r="D37" s="399">
        <v>0.51</v>
      </c>
      <c r="E37" s="1058"/>
      <c r="F37" s="422" t="s">
        <v>131</v>
      </c>
      <c r="G37" s="423">
        <f t="shared" ref="G37:BR37" si="34">$D$37*G17</f>
        <v>46684.975000000006</v>
      </c>
      <c r="H37" s="423">
        <f t="shared" si="34"/>
        <v>46684.975000000006</v>
      </c>
      <c r="I37" s="423">
        <f t="shared" si="34"/>
        <v>46684.975000000006</v>
      </c>
      <c r="J37" s="423">
        <f t="shared" si="34"/>
        <v>46684.975000000006</v>
      </c>
      <c r="K37" s="423">
        <f t="shared" si="34"/>
        <v>46684.975000000006</v>
      </c>
      <c r="L37" s="423">
        <f t="shared" si="34"/>
        <v>46684.975000000006</v>
      </c>
      <c r="M37" s="423">
        <f t="shared" si="34"/>
        <v>46684.975000000006</v>
      </c>
      <c r="N37" s="423">
        <f t="shared" si="34"/>
        <v>46684.975000000006</v>
      </c>
      <c r="O37" s="423">
        <f t="shared" si="34"/>
        <v>46684.975000000006</v>
      </c>
      <c r="P37" s="423">
        <f t="shared" si="34"/>
        <v>46684.975000000006</v>
      </c>
      <c r="Q37" s="423">
        <f t="shared" si="34"/>
        <v>46684.975000000006</v>
      </c>
      <c r="R37" s="423">
        <f t="shared" si="34"/>
        <v>46684.975000000006</v>
      </c>
      <c r="S37" s="423">
        <f t="shared" si="34"/>
        <v>46684.975000000006</v>
      </c>
      <c r="T37" s="423">
        <f t="shared" si="34"/>
        <v>46684.975000000006</v>
      </c>
      <c r="U37" s="423">
        <f t="shared" si="34"/>
        <v>46684.975000000006</v>
      </c>
      <c r="V37" s="423">
        <f t="shared" si="34"/>
        <v>46684.975000000006</v>
      </c>
      <c r="W37" s="423">
        <f t="shared" si="34"/>
        <v>46684.975000000006</v>
      </c>
      <c r="X37" s="423">
        <f t="shared" si="34"/>
        <v>46684.975000000006</v>
      </c>
      <c r="Y37" s="423">
        <f t="shared" si="34"/>
        <v>46684.975000000006</v>
      </c>
      <c r="Z37" s="423">
        <f t="shared" si="34"/>
        <v>46684.975000000006</v>
      </c>
      <c r="AA37" s="423">
        <f t="shared" si="34"/>
        <v>46684.975000000006</v>
      </c>
      <c r="AB37" s="423">
        <f t="shared" si="34"/>
        <v>46684.975000000006</v>
      </c>
      <c r="AC37" s="423">
        <f t="shared" si="34"/>
        <v>46684.975000000006</v>
      </c>
      <c r="AD37" s="423">
        <f t="shared" si="34"/>
        <v>46684.975000000006</v>
      </c>
      <c r="AE37" s="423">
        <f t="shared" si="34"/>
        <v>46684.975000000006</v>
      </c>
      <c r="AF37" s="423">
        <f t="shared" si="34"/>
        <v>46684.975000000006</v>
      </c>
      <c r="AG37" s="423">
        <f t="shared" si="34"/>
        <v>46684.975000000006</v>
      </c>
      <c r="AH37" s="423">
        <f t="shared" si="34"/>
        <v>46684.975000000006</v>
      </c>
      <c r="AI37" s="423">
        <f t="shared" si="34"/>
        <v>46684.975000000006</v>
      </c>
      <c r="AJ37" s="423">
        <f t="shared" si="34"/>
        <v>46684.975000000006</v>
      </c>
      <c r="AK37" s="423">
        <f t="shared" si="34"/>
        <v>46684.975000000006</v>
      </c>
      <c r="AL37" s="423">
        <f t="shared" si="34"/>
        <v>46684.975000000006</v>
      </c>
      <c r="AM37" s="423">
        <f t="shared" si="34"/>
        <v>46684.975000000006</v>
      </c>
      <c r="AN37" s="423">
        <f t="shared" si="34"/>
        <v>46684.975000000006</v>
      </c>
      <c r="AO37" s="423">
        <f t="shared" si="34"/>
        <v>46684.975000000006</v>
      </c>
      <c r="AP37" s="423">
        <f t="shared" si="34"/>
        <v>46684.975000000006</v>
      </c>
      <c r="AQ37" s="423">
        <f t="shared" si="34"/>
        <v>46684.975000000006</v>
      </c>
      <c r="AR37" s="423">
        <f t="shared" si="34"/>
        <v>46684.975000000006</v>
      </c>
      <c r="AS37" s="423">
        <f t="shared" si="34"/>
        <v>46684.975000000006</v>
      </c>
      <c r="AT37" s="423">
        <f t="shared" si="34"/>
        <v>46684.975000000006</v>
      </c>
      <c r="AU37" s="424">
        <f t="shared" si="34"/>
        <v>46684.975000000006</v>
      </c>
      <c r="AV37" s="424">
        <f t="shared" si="34"/>
        <v>46684.975000000006</v>
      </c>
      <c r="AW37" s="424">
        <f t="shared" si="34"/>
        <v>46684.975000000006</v>
      </c>
      <c r="AX37" s="424">
        <f t="shared" si="34"/>
        <v>46684.975000000006</v>
      </c>
      <c r="AY37" s="424">
        <f t="shared" si="34"/>
        <v>46684.975000000006</v>
      </c>
      <c r="AZ37" s="424">
        <f t="shared" si="34"/>
        <v>46684.975000000006</v>
      </c>
      <c r="BA37" s="424">
        <f t="shared" si="34"/>
        <v>46684.975000000006</v>
      </c>
      <c r="BB37" s="424">
        <f t="shared" si="34"/>
        <v>46684.975000000006</v>
      </c>
      <c r="BC37" s="424">
        <f t="shared" si="34"/>
        <v>46684.975000000006</v>
      </c>
      <c r="BD37" s="424">
        <f t="shared" si="34"/>
        <v>46684.975000000006</v>
      </c>
      <c r="BE37" s="424">
        <f t="shared" si="34"/>
        <v>46684.975000000006</v>
      </c>
      <c r="BF37" s="424">
        <f t="shared" si="34"/>
        <v>46684.975000000006</v>
      </c>
      <c r="BG37" s="424">
        <f t="shared" si="34"/>
        <v>46684.975000000006</v>
      </c>
      <c r="BH37" s="424">
        <f t="shared" si="34"/>
        <v>46684.975000000006</v>
      </c>
      <c r="BI37" s="424">
        <f t="shared" si="34"/>
        <v>46684.975000000006</v>
      </c>
      <c r="BJ37" s="424">
        <f t="shared" si="34"/>
        <v>46684.975000000006</v>
      </c>
      <c r="BK37" s="424">
        <f t="shared" si="34"/>
        <v>46684.975000000006</v>
      </c>
      <c r="BL37" s="424">
        <f t="shared" si="34"/>
        <v>46684.975000000006</v>
      </c>
      <c r="BM37" s="424">
        <f t="shared" si="34"/>
        <v>46684.975000000006</v>
      </c>
      <c r="BN37" s="424">
        <f t="shared" si="34"/>
        <v>46684.975000000006</v>
      </c>
      <c r="BO37" s="424">
        <f t="shared" si="34"/>
        <v>46684.975000000006</v>
      </c>
      <c r="BP37" s="424">
        <f t="shared" si="34"/>
        <v>46684.975000000006</v>
      </c>
      <c r="BQ37" s="424">
        <f t="shared" si="34"/>
        <v>46684.975000000006</v>
      </c>
      <c r="BR37" s="424">
        <f t="shared" si="34"/>
        <v>46684.975000000006</v>
      </c>
      <c r="BS37" s="424">
        <f t="shared" ref="BS37:CL37" si="35">$D$37*BS17</f>
        <v>46684.975000000006</v>
      </c>
      <c r="BT37" s="424">
        <f t="shared" si="35"/>
        <v>46684.975000000006</v>
      </c>
      <c r="BU37" s="424">
        <f t="shared" si="35"/>
        <v>46684.975000000006</v>
      </c>
      <c r="BV37" s="424">
        <f t="shared" si="35"/>
        <v>46684.975000000006</v>
      </c>
      <c r="BW37" s="424">
        <f t="shared" si="35"/>
        <v>46684.975000000006</v>
      </c>
      <c r="BX37" s="424">
        <f t="shared" si="35"/>
        <v>46684.975000000006</v>
      </c>
      <c r="BY37" s="424">
        <f t="shared" si="35"/>
        <v>46684.975000000006</v>
      </c>
      <c r="BZ37" s="424">
        <f t="shared" si="35"/>
        <v>46684.975000000006</v>
      </c>
      <c r="CA37" s="424">
        <f t="shared" si="35"/>
        <v>46684.975000000006</v>
      </c>
      <c r="CB37" s="424">
        <f t="shared" si="35"/>
        <v>46684.975000000006</v>
      </c>
      <c r="CC37" s="424">
        <f t="shared" si="35"/>
        <v>46684.975000000006</v>
      </c>
      <c r="CD37" s="424">
        <f t="shared" si="35"/>
        <v>46684.975000000006</v>
      </c>
      <c r="CE37" s="424">
        <f t="shared" si="35"/>
        <v>46684.975000000006</v>
      </c>
      <c r="CF37" s="424">
        <f t="shared" si="35"/>
        <v>46684.975000000006</v>
      </c>
      <c r="CG37" s="424">
        <f t="shared" si="35"/>
        <v>46684.975000000006</v>
      </c>
      <c r="CH37" s="424">
        <f t="shared" si="35"/>
        <v>46684.975000000006</v>
      </c>
      <c r="CI37" s="424">
        <f t="shared" si="35"/>
        <v>46684.975000000006</v>
      </c>
      <c r="CJ37" s="424">
        <f t="shared" si="35"/>
        <v>46684.975000000006</v>
      </c>
      <c r="CK37" s="424">
        <f t="shared" si="35"/>
        <v>46684.975000000006</v>
      </c>
      <c r="CL37" s="422">
        <f t="shared" si="35"/>
        <v>46684.975000000006</v>
      </c>
      <c r="CM37" s="397">
        <f t="shared" si="15"/>
        <v>46684.975000000064</v>
      </c>
      <c r="CN37" s="429" t="s">
        <v>318</v>
      </c>
      <c r="CO37" s="430">
        <v>36.979805128205101</v>
      </c>
      <c r="CP37" s="430">
        <v>36.979805128205101</v>
      </c>
      <c r="CQ37" s="430">
        <v>36.979805128205101</v>
      </c>
      <c r="CR37" s="430">
        <v>36.979805128205101</v>
      </c>
      <c r="CS37" s="430">
        <v>36.979805128205101</v>
      </c>
      <c r="CT37" s="430">
        <v>36.979805128205101</v>
      </c>
      <c r="CU37" s="430">
        <v>36.979805128205101</v>
      </c>
      <c r="CV37" s="430">
        <v>36.979805128205101</v>
      </c>
      <c r="CW37" s="430">
        <v>37.756290598290597</v>
      </c>
      <c r="CX37" s="430">
        <v>36.979805128205101</v>
      </c>
      <c r="CY37" s="430">
        <v>37.756290598290597</v>
      </c>
      <c r="CZ37" s="430">
        <v>38.532776068376101</v>
      </c>
      <c r="DA37" s="430">
        <v>39.309261538461499</v>
      </c>
      <c r="DB37" s="430">
        <v>40.085747008547003</v>
      </c>
      <c r="DC37" s="430">
        <v>40.8622324786325</v>
      </c>
      <c r="DD37" s="430">
        <v>41.638717948718003</v>
      </c>
      <c r="DE37" s="430">
        <v>42.415203418803401</v>
      </c>
      <c r="DF37" s="430">
        <v>43.191688888888898</v>
      </c>
      <c r="DG37" s="430">
        <v>43.968174358974402</v>
      </c>
      <c r="DH37" s="430">
        <v>44.744659829059799</v>
      </c>
      <c r="DI37" s="430">
        <v>45.521145299145303</v>
      </c>
      <c r="DJ37" s="430">
        <v>46.2976307692308</v>
      </c>
      <c r="DK37" s="430">
        <v>47.074116239316197</v>
      </c>
      <c r="DL37" s="430">
        <v>47.850601709401701</v>
      </c>
      <c r="DM37" s="430">
        <v>48.627087179487198</v>
      </c>
      <c r="DN37" s="430">
        <v>49.403572649572702</v>
      </c>
      <c r="DO37" s="430">
        <v>50.180058119658099</v>
      </c>
      <c r="DP37" s="430">
        <v>50.956543589743603</v>
      </c>
      <c r="DQ37" s="430">
        <v>51.7330290598291</v>
      </c>
      <c r="DR37" s="430">
        <v>52.509514529914497</v>
      </c>
      <c r="DS37" s="430">
        <v>53.286000000000001</v>
      </c>
      <c r="DT37" s="430">
        <v>54.062485470085498</v>
      </c>
      <c r="DU37" s="430">
        <v>54.838970940170903</v>
      </c>
      <c r="DV37" s="430">
        <v>55.6154564102564</v>
      </c>
      <c r="DW37" s="430">
        <v>56.391941880341903</v>
      </c>
      <c r="DX37" s="430">
        <v>57.1684273504274</v>
      </c>
      <c r="DY37" s="430">
        <v>57.944912820512798</v>
      </c>
      <c r="DZ37" s="430">
        <v>58.721398290598302</v>
      </c>
      <c r="EA37" s="430">
        <v>59.497883760683798</v>
      </c>
      <c r="EB37" s="430">
        <v>60.274369230769203</v>
      </c>
      <c r="EC37" s="430">
        <v>56.1</v>
      </c>
      <c r="ED37" s="430">
        <v>57.6</v>
      </c>
      <c r="EE37" s="430">
        <v>55.7</v>
      </c>
      <c r="EF37" s="430">
        <v>59.95</v>
      </c>
      <c r="EG37" s="430">
        <v>68.569999999999993</v>
      </c>
      <c r="EH37" s="430">
        <v>79.7</v>
      </c>
      <c r="EI37" s="430">
        <v>85.01</v>
      </c>
      <c r="EJ37" s="430">
        <v>73.42</v>
      </c>
      <c r="EK37" s="430">
        <v>68.25</v>
      </c>
      <c r="EL37" s="430">
        <v>53.25</v>
      </c>
      <c r="EM37" s="430">
        <v>65.459999999999994</v>
      </c>
      <c r="EN37" s="430">
        <v>60.93</v>
      </c>
      <c r="EO37" s="430">
        <v>59.7</v>
      </c>
      <c r="EP37" s="430">
        <v>58.94</v>
      </c>
      <c r="EQ37" s="430">
        <v>57.95</v>
      </c>
      <c r="ER37" s="430">
        <v>78.48</v>
      </c>
      <c r="ES37" s="430">
        <v>82.51</v>
      </c>
      <c r="ET37" s="430">
        <v>83.6</v>
      </c>
      <c r="EU37" s="430">
        <v>102.15</v>
      </c>
      <c r="EV37" s="430">
        <v>74.58</v>
      </c>
      <c r="EW37" s="430">
        <v>78.45</v>
      </c>
      <c r="EX37" s="430">
        <v>76.87</v>
      </c>
      <c r="EY37" s="430">
        <v>82.39</v>
      </c>
      <c r="EZ37" s="430">
        <v>77.88</v>
      </c>
      <c r="FA37" s="430">
        <v>75.39</v>
      </c>
      <c r="FB37" s="430">
        <v>66.849999999999994</v>
      </c>
      <c r="FC37" s="430">
        <v>64.58</v>
      </c>
      <c r="FD37" s="430">
        <v>84.97</v>
      </c>
      <c r="FE37" s="430">
        <v>78.069999999999993</v>
      </c>
      <c r="FF37" s="430">
        <v>71.17</v>
      </c>
      <c r="FG37" s="430">
        <v>68.23</v>
      </c>
      <c r="FH37" s="430">
        <v>69.2</v>
      </c>
      <c r="FI37" s="430">
        <v>71.16</v>
      </c>
      <c r="FJ37" s="430">
        <v>82.9</v>
      </c>
      <c r="FK37" s="430">
        <v>88.88</v>
      </c>
      <c r="FL37" s="430">
        <v>80.14</v>
      </c>
      <c r="FM37" s="430">
        <v>89.43</v>
      </c>
      <c r="FN37" s="430">
        <v>102.78</v>
      </c>
      <c r="FO37" s="430">
        <v>102.25</v>
      </c>
      <c r="FP37" s="430">
        <v>100.32</v>
      </c>
      <c r="FQ37" s="430">
        <v>81.34</v>
      </c>
      <c r="FR37" s="430">
        <v>90.67</v>
      </c>
      <c r="FS37" s="430">
        <v>91.86</v>
      </c>
      <c r="FT37" s="430">
        <v>95.99</v>
      </c>
      <c r="FU37" s="430">
        <v>94.95</v>
      </c>
      <c r="FV37" s="271">
        <f t="shared" si="31"/>
        <v>76.634888888888895</v>
      </c>
      <c r="FW37" s="312"/>
    </row>
    <row r="38" spans="1:179" ht="26.25" customHeight="1">
      <c r="A38" s="1066"/>
      <c r="B38" s="398" t="s">
        <v>305</v>
      </c>
      <c r="C38" s="399" t="s">
        <v>319</v>
      </c>
      <c r="D38" s="399">
        <v>0.14000000000000001</v>
      </c>
      <c r="E38" s="1058"/>
      <c r="F38" s="422" t="s">
        <v>130</v>
      </c>
      <c r="G38" s="423">
        <f t="shared" ref="G38:BR38" si="36">$D$38*G17</f>
        <v>12815.483333333335</v>
      </c>
      <c r="H38" s="423">
        <f t="shared" si="36"/>
        <v>12815.483333333335</v>
      </c>
      <c r="I38" s="423">
        <f t="shared" si="36"/>
        <v>12815.483333333335</v>
      </c>
      <c r="J38" s="423">
        <f t="shared" si="36"/>
        <v>12815.483333333335</v>
      </c>
      <c r="K38" s="423">
        <f t="shared" si="36"/>
        <v>12815.483333333335</v>
      </c>
      <c r="L38" s="423">
        <f t="shared" si="36"/>
        <v>12815.483333333335</v>
      </c>
      <c r="M38" s="423">
        <f t="shared" si="36"/>
        <v>12815.483333333335</v>
      </c>
      <c r="N38" s="423">
        <f t="shared" si="36"/>
        <v>12815.483333333335</v>
      </c>
      <c r="O38" s="423">
        <f t="shared" si="36"/>
        <v>12815.483333333335</v>
      </c>
      <c r="P38" s="423">
        <f t="shared" si="36"/>
        <v>12815.483333333335</v>
      </c>
      <c r="Q38" s="423">
        <f t="shared" si="36"/>
        <v>12815.483333333335</v>
      </c>
      <c r="R38" s="423">
        <f t="shared" si="36"/>
        <v>12815.483333333335</v>
      </c>
      <c r="S38" s="423">
        <f t="shared" si="36"/>
        <v>12815.483333333335</v>
      </c>
      <c r="T38" s="423">
        <f t="shared" si="36"/>
        <v>12815.483333333335</v>
      </c>
      <c r="U38" s="423">
        <f t="shared" si="36"/>
        <v>12815.483333333335</v>
      </c>
      <c r="V38" s="423">
        <f t="shared" si="36"/>
        <v>12815.483333333335</v>
      </c>
      <c r="W38" s="423">
        <f t="shared" si="36"/>
        <v>12815.483333333335</v>
      </c>
      <c r="X38" s="423">
        <f t="shared" si="36"/>
        <v>12815.483333333335</v>
      </c>
      <c r="Y38" s="423">
        <f t="shared" si="36"/>
        <v>12815.483333333335</v>
      </c>
      <c r="Z38" s="423">
        <f t="shared" si="36"/>
        <v>12815.483333333335</v>
      </c>
      <c r="AA38" s="423">
        <f t="shared" si="36"/>
        <v>12815.483333333335</v>
      </c>
      <c r="AB38" s="423">
        <f t="shared" si="36"/>
        <v>12815.483333333335</v>
      </c>
      <c r="AC38" s="423">
        <f t="shared" si="36"/>
        <v>12815.483333333335</v>
      </c>
      <c r="AD38" s="423">
        <f t="shared" si="36"/>
        <v>12815.483333333335</v>
      </c>
      <c r="AE38" s="423">
        <f t="shared" si="36"/>
        <v>12815.483333333335</v>
      </c>
      <c r="AF38" s="423">
        <f t="shared" si="36"/>
        <v>12815.483333333335</v>
      </c>
      <c r="AG38" s="423">
        <f t="shared" si="36"/>
        <v>12815.483333333335</v>
      </c>
      <c r="AH38" s="423">
        <f t="shared" si="36"/>
        <v>12815.483333333335</v>
      </c>
      <c r="AI38" s="423">
        <f t="shared" si="36"/>
        <v>12815.483333333335</v>
      </c>
      <c r="AJ38" s="423">
        <f t="shared" si="36"/>
        <v>12815.483333333335</v>
      </c>
      <c r="AK38" s="423">
        <f t="shared" si="36"/>
        <v>12815.483333333335</v>
      </c>
      <c r="AL38" s="423">
        <f t="shared" si="36"/>
        <v>12815.483333333335</v>
      </c>
      <c r="AM38" s="423">
        <f t="shared" si="36"/>
        <v>12815.483333333335</v>
      </c>
      <c r="AN38" s="423">
        <f t="shared" si="36"/>
        <v>12815.483333333335</v>
      </c>
      <c r="AO38" s="423">
        <f t="shared" si="36"/>
        <v>12815.483333333335</v>
      </c>
      <c r="AP38" s="423">
        <f t="shared" si="36"/>
        <v>12815.483333333335</v>
      </c>
      <c r="AQ38" s="423">
        <f t="shared" si="36"/>
        <v>12815.483333333335</v>
      </c>
      <c r="AR38" s="423">
        <f t="shared" si="36"/>
        <v>12815.483333333335</v>
      </c>
      <c r="AS38" s="423">
        <f t="shared" si="36"/>
        <v>12815.483333333335</v>
      </c>
      <c r="AT38" s="423">
        <f t="shared" si="36"/>
        <v>12815.483333333335</v>
      </c>
      <c r="AU38" s="424">
        <f t="shared" si="36"/>
        <v>12815.483333333335</v>
      </c>
      <c r="AV38" s="424">
        <f t="shared" si="36"/>
        <v>12815.483333333335</v>
      </c>
      <c r="AW38" s="424">
        <f t="shared" si="36"/>
        <v>12815.483333333335</v>
      </c>
      <c r="AX38" s="424">
        <f t="shared" si="36"/>
        <v>12815.483333333335</v>
      </c>
      <c r="AY38" s="424">
        <f t="shared" si="36"/>
        <v>12815.483333333335</v>
      </c>
      <c r="AZ38" s="424">
        <f t="shared" si="36"/>
        <v>12815.483333333335</v>
      </c>
      <c r="BA38" s="424">
        <f t="shared" si="36"/>
        <v>12815.483333333335</v>
      </c>
      <c r="BB38" s="424">
        <f t="shared" si="36"/>
        <v>12815.483333333335</v>
      </c>
      <c r="BC38" s="424">
        <f t="shared" si="36"/>
        <v>12815.483333333335</v>
      </c>
      <c r="BD38" s="424">
        <f t="shared" si="36"/>
        <v>12815.483333333335</v>
      </c>
      <c r="BE38" s="424">
        <f t="shared" si="36"/>
        <v>12815.483333333335</v>
      </c>
      <c r="BF38" s="424">
        <f t="shared" si="36"/>
        <v>12815.483333333335</v>
      </c>
      <c r="BG38" s="424">
        <f t="shared" si="36"/>
        <v>12815.483333333335</v>
      </c>
      <c r="BH38" s="424">
        <f t="shared" si="36"/>
        <v>12815.483333333335</v>
      </c>
      <c r="BI38" s="424">
        <f t="shared" si="36"/>
        <v>12815.483333333335</v>
      </c>
      <c r="BJ38" s="424">
        <f t="shared" si="36"/>
        <v>12815.483333333335</v>
      </c>
      <c r="BK38" s="424">
        <f t="shared" si="36"/>
        <v>12815.483333333335</v>
      </c>
      <c r="BL38" s="424">
        <f t="shared" si="36"/>
        <v>12815.483333333335</v>
      </c>
      <c r="BM38" s="424">
        <f t="shared" si="36"/>
        <v>12815.483333333335</v>
      </c>
      <c r="BN38" s="424">
        <f t="shared" si="36"/>
        <v>12815.483333333335</v>
      </c>
      <c r="BO38" s="424">
        <f t="shared" si="36"/>
        <v>12815.483333333335</v>
      </c>
      <c r="BP38" s="424">
        <f t="shared" si="36"/>
        <v>12815.483333333335</v>
      </c>
      <c r="BQ38" s="424">
        <f t="shared" si="36"/>
        <v>12815.483333333335</v>
      </c>
      <c r="BR38" s="424">
        <f t="shared" si="36"/>
        <v>12815.483333333335</v>
      </c>
      <c r="BS38" s="424">
        <f t="shared" ref="BS38:CL38" si="37">$D$38*BS17</f>
        <v>12815.483333333335</v>
      </c>
      <c r="BT38" s="424">
        <f t="shared" si="37"/>
        <v>12815.483333333335</v>
      </c>
      <c r="BU38" s="424">
        <f t="shared" si="37"/>
        <v>12815.483333333335</v>
      </c>
      <c r="BV38" s="424">
        <f t="shared" si="37"/>
        <v>12815.483333333335</v>
      </c>
      <c r="BW38" s="424">
        <f t="shared" si="37"/>
        <v>12815.483333333335</v>
      </c>
      <c r="BX38" s="424">
        <f t="shared" si="37"/>
        <v>12815.483333333335</v>
      </c>
      <c r="BY38" s="424">
        <f t="shared" si="37"/>
        <v>12815.483333333335</v>
      </c>
      <c r="BZ38" s="424">
        <f t="shared" si="37"/>
        <v>12815.483333333335</v>
      </c>
      <c r="CA38" s="424">
        <f t="shared" si="37"/>
        <v>12815.483333333335</v>
      </c>
      <c r="CB38" s="424">
        <f t="shared" si="37"/>
        <v>12815.483333333335</v>
      </c>
      <c r="CC38" s="424">
        <f t="shared" si="37"/>
        <v>12815.483333333335</v>
      </c>
      <c r="CD38" s="424">
        <f t="shared" si="37"/>
        <v>12815.483333333335</v>
      </c>
      <c r="CE38" s="424">
        <f t="shared" si="37"/>
        <v>12815.483333333335</v>
      </c>
      <c r="CF38" s="424">
        <f t="shared" si="37"/>
        <v>12815.483333333335</v>
      </c>
      <c r="CG38" s="424">
        <f t="shared" si="37"/>
        <v>12815.483333333335</v>
      </c>
      <c r="CH38" s="424">
        <f t="shared" si="37"/>
        <v>12815.483333333335</v>
      </c>
      <c r="CI38" s="424">
        <f t="shared" si="37"/>
        <v>12815.483333333335</v>
      </c>
      <c r="CJ38" s="424">
        <f t="shared" si="37"/>
        <v>12815.483333333335</v>
      </c>
      <c r="CK38" s="424">
        <f t="shared" si="37"/>
        <v>12815.483333333335</v>
      </c>
      <c r="CL38" s="422">
        <f t="shared" si="37"/>
        <v>12815.483333333335</v>
      </c>
      <c r="CM38" s="397">
        <f t="shared" si="15"/>
        <v>12815.48333333331</v>
      </c>
      <c r="CN38" s="429" t="s">
        <v>179</v>
      </c>
      <c r="CO38" s="430">
        <v>3.25</v>
      </c>
      <c r="CP38" s="430">
        <v>3.25</v>
      </c>
      <c r="CQ38" s="430">
        <v>3.25</v>
      </c>
      <c r="CR38" s="430">
        <v>3.25</v>
      </c>
      <c r="CS38" s="430">
        <v>3.25</v>
      </c>
      <c r="CT38" s="430">
        <v>3.5</v>
      </c>
      <c r="CU38" s="430">
        <v>3.5</v>
      </c>
      <c r="CV38" s="430">
        <v>3.5</v>
      </c>
      <c r="CW38" s="430">
        <v>3.5</v>
      </c>
      <c r="CX38" s="430">
        <v>3.5</v>
      </c>
      <c r="CY38" s="430">
        <v>3.5</v>
      </c>
      <c r="CZ38" s="430">
        <v>3.5</v>
      </c>
      <c r="DA38" s="430">
        <v>3.5</v>
      </c>
      <c r="DB38" s="430">
        <v>3.5</v>
      </c>
      <c r="DC38" s="430">
        <v>3.5</v>
      </c>
      <c r="DD38" s="430">
        <v>3.5</v>
      </c>
      <c r="DE38" s="430">
        <v>3.5574974358974401</v>
      </c>
      <c r="DF38" s="430">
        <v>3.5365333333333302</v>
      </c>
      <c r="DG38" s="430">
        <v>3.5155692307692301</v>
      </c>
      <c r="DH38" s="430">
        <v>3.49460512820513</v>
      </c>
      <c r="DI38" s="430">
        <v>3.4736410256410299</v>
      </c>
      <c r="DJ38" s="430">
        <v>3.4526769230769201</v>
      </c>
      <c r="DK38" s="430">
        <v>3.43171282051282</v>
      </c>
      <c r="DL38" s="430">
        <v>3.4107487179487199</v>
      </c>
      <c r="DM38" s="430">
        <v>3.3897846153846101</v>
      </c>
      <c r="DN38" s="430">
        <v>3.36882051282051</v>
      </c>
      <c r="DO38" s="430">
        <v>3.3478564102564099</v>
      </c>
      <c r="DP38" s="430">
        <v>3.3268923076923098</v>
      </c>
      <c r="DQ38" s="430">
        <v>3.3059282051282</v>
      </c>
      <c r="DR38" s="430">
        <v>3.2849641025640999</v>
      </c>
      <c r="DS38" s="430">
        <v>3.2639999999999998</v>
      </c>
      <c r="DT38" s="430">
        <v>3.2430358974359002</v>
      </c>
      <c r="DU38" s="430">
        <v>3.2220717948717899</v>
      </c>
      <c r="DV38" s="430">
        <v>3.2011076923076902</v>
      </c>
      <c r="DW38" s="430">
        <v>3.1801435897435901</v>
      </c>
      <c r="DX38" s="430">
        <v>3.15917948717949</v>
      </c>
      <c r="DY38" s="430">
        <v>3.1382153846153802</v>
      </c>
      <c r="DZ38" s="430">
        <v>3.1172512820512801</v>
      </c>
      <c r="EA38" s="430">
        <v>3.09628717948718</v>
      </c>
      <c r="EB38" s="430">
        <v>3.0753230769230799</v>
      </c>
      <c r="EC38" s="430">
        <v>2.19</v>
      </c>
      <c r="ED38" s="430">
        <v>3.16</v>
      </c>
      <c r="EE38" s="430">
        <v>3.15</v>
      </c>
      <c r="EF38" s="430">
        <v>2.71</v>
      </c>
      <c r="EG38" s="430">
        <v>2.67</v>
      </c>
      <c r="EH38" s="430">
        <v>2.98</v>
      </c>
      <c r="EI38" s="430">
        <v>3.6</v>
      </c>
      <c r="EJ38" s="430">
        <v>3.3</v>
      </c>
      <c r="EK38" s="430">
        <v>3.19</v>
      </c>
      <c r="EL38" s="430">
        <v>3.54</v>
      </c>
      <c r="EM38" s="430">
        <v>3.04</v>
      </c>
      <c r="EN38" s="430">
        <v>2.95</v>
      </c>
      <c r="EO38" s="430">
        <v>2.5499999999999998</v>
      </c>
      <c r="EP38" s="430">
        <v>3.17</v>
      </c>
      <c r="EQ38" s="430">
        <v>2.7</v>
      </c>
      <c r="ER38" s="430">
        <v>2.14</v>
      </c>
      <c r="ES38" s="430">
        <v>2.11</v>
      </c>
      <c r="ET38" s="430">
        <v>2.31</v>
      </c>
      <c r="EU38" s="430">
        <v>2.5499999999999998</v>
      </c>
      <c r="EV38" s="430">
        <v>2.8</v>
      </c>
      <c r="EW38" s="430">
        <v>2.42</v>
      </c>
      <c r="EX38" s="430">
        <v>2.8</v>
      </c>
      <c r="EY38" s="430">
        <v>2.73</v>
      </c>
      <c r="EZ38" s="430">
        <v>2.99</v>
      </c>
      <c r="FA38" s="430">
        <v>2.38</v>
      </c>
      <c r="FB38" s="430">
        <v>2.4700000000000002</v>
      </c>
      <c r="FC38" s="430">
        <v>1.66</v>
      </c>
      <c r="FD38" s="430">
        <v>2.34</v>
      </c>
      <c r="FE38" s="430">
        <v>2.73</v>
      </c>
      <c r="FF38" s="430">
        <v>1.44</v>
      </c>
      <c r="FG38" s="430">
        <v>1.22</v>
      </c>
      <c r="FH38" s="430">
        <v>1.58</v>
      </c>
      <c r="FI38" s="430">
        <v>2.04</v>
      </c>
      <c r="FJ38" s="430">
        <v>2.15</v>
      </c>
      <c r="FK38" s="430">
        <v>2.37</v>
      </c>
      <c r="FL38" s="430">
        <v>2.61</v>
      </c>
      <c r="FM38" s="430">
        <v>2.96</v>
      </c>
      <c r="FN38" s="430">
        <v>3.52</v>
      </c>
      <c r="FO38" s="430">
        <v>3.35</v>
      </c>
      <c r="FP38" s="430">
        <v>2.69</v>
      </c>
      <c r="FQ38" s="430">
        <v>2.57</v>
      </c>
      <c r="FR38" s="430">
        <v>2.83</v>
      </c>
      <c r="FS38" s="430">
        <v>3.48</v>
      </c>
      <c r="FT38" s="430">
        <v>3.56</v>
      </c>
      <c r="FU38" s="430">
        <v>3.74</v>
      </c>
      <c r="FV38" s="271">
        <f t="shared" si="31"/>
        <v>2.6986666666666661</v>
      </c>
      <c r="FW38" s="312"/>
    </row>
    <row r="39" spans="1:179">
      <c r="A39" s="1066"/>
      <c r="B39" s="398" t="s">
        <v>305</v>
      </c>
      <c r="C39" s="399" t="s">
        <v>320</v>
      </c>
      <c r="D39" s="399">
        <v>15.58</v>
      </c>
      <c r="E39" s="1058"/>
      <c r="F39" s="422" t="s">
        <v>129</v>
      </c>
      <c r="G39" s="423">
        <f t="shared" ref="G39:BR39" si="38">$D$39*G17</f>
        <v>1426180.2166666668</v>
      </c>
      <c r="H39" s="423">
        <f t="shared" si="38"/>
        <v>1426180.2166666668</v>
      </c>
      <c r="I39" s="423">
        <f t="shared" si="38"/>
        <v>1426180.2166666668</v>
      </c>
      <c r="J39" s="423">
        <f t="shared" si="38"/>
        <v>1426180.2166666668</v>
      </c>
      <c r="K39" s="423">
        <f t="shared" si="38"/>
        <v>1426180.2166666668</v>
      </c>
      <c r="L39" s="423">
        <f t="shared" si="38"/>
        <v>1426180.2166666668</v>
      </c>
      <c r="M39" s="423">
        <f t="shared" si="38"/>
        <v>1426180.2166666668</v>
      </c>
      <c r="N39" s="423">
        <f t="shared" si="38"/>
        <v>1426180.2166666668</v>
      </c>
      <c r="O39" s="423">
        <f t="shared" si="38"/>
        <v>1426180.2166666668</v>
      </c>
      <c r="P39" s="423">
        <f t="shared" si="38"/>
        <v>1426180.2166666668</v>
      </c>
      <c r="Q39" s="423">
        <f t="shared" si="38"/>
        <v>1426180.2166666668</v>
      </c>
      <c r="R39" s="423">
        <f t="shared" si="38"/>
        <v>1426180.2166666668</v>
      </c>
      <c r="S39" s="423">
        <f t="shared" si="38"/>
        <v>1426180.2166666668</v>
      </c>
      <c r="T39" s="423">
        <f t="shared" si="38"/>
        <v>1426180.2166666668</v>
      </c>
      <c r="U39" s="423">
        <f t="shared" si="38"/>
        <v>1426180.2166666668</v>
      </c>
      <c r="V39" s="423">
        <f t="shared" si="38"/>
        <v>1426180.2166666668</v>
      </c>
      <c r="W39" s="423">
        <f t="shared" si="38"/>
        <v>1426180.2166666668</v>
      </c>
      <c r="X39" s="423">
        <f t="shared" si="38"/>
        <v>1426180.2166666668</v>
      </c>
      <c r="Y39" s="423">
        <f t="shared" si="38"/>
        <v>1426180.2166666668</v>
      </c>
      <c r="Z39" s="423">
        <f t="shared" si="38"/>
        <v>1426180.2166666668</v>
      </c>
      <c r="AA39" s="423">
        <f t="shared" si="38"/>
        <v>1426180.2166666668</v>
      </c>
      <c r="AB39" s="423">
        <f t="shared" si="38"/>
        <v>1426180.2166666668</v>
      </c>
      <c r="AC39" s="423">
        <f t="shared" si="38"/>
        <v>1426180.2166666668</v>
      </c>
      <c r="AD39" s="423">
        <f t="shared" si="38"/>
        <v>1426180.2166666668</v>
      </c>
      <c r="AE39" s="423">
        <f t="shared" si="38"/>
        <v>1426180.2166666668</v>
      </c>
      <c r="AF39" s="423">
        <f t="shared" si="38"/>
        <v>1426180.2166666668</v>
      </c>
      <c r="AG39" s="423">
        <f t="shared" si="38"/>
        <v>1426180.2166666668</v>
      </c>
      <c r="AH39" s="423">
        <f t="shared" si="38"/>
        <v>1426180.2166666668</v>
      </c>
      <c r="AI39" s="423">
        <f t="shared" si="38"/>
        <v>1426180.2166666668</v>
      </c>
      <c r="AJ39" s="423">
        <f t="shared" si="38"/>
        <v>1426180.2166666668</v>
      </c>
      <c r="AK39" s="423">
        <f t="shared" si="38"/>
        <v>1426180.2166666668</v>
      </c>
      <c r="AL39" s="423">
        <f t="shared" si="38"/>
        <v>1426180.2166666668</v>
      </c>
      <c r="AM39" s="423">
        <f t="shared" si="38"/>
        <v>1426180.2166666668</v>
      </c>
      <c r="AN39" s="423">
        <f t="shared" si="38"/>
        <v>1426180.2166666668</v>
      </c>
      <c r="AO39" s="423">
        <f t="shared" si="38"/>
        <v>1426180.2166666668</v>
      </c>
      <c r="AP39" s="423">
        <f t="shared" si="38"/>
        <v>1426180.2166666668</v>
      </c>
      <c r="AQ39" s="423">
        <f t="shared" si="38"/>
        <v>1426180.2166666668</v>
      </c>
      <c r="AR39" s="423">
        <f t="shared" si="38"/>
        <v>1426180.2166666668</v>
      </c>
      <c r="AS39" s="423">
        <f t="shared" si="38"/>
        <v>1426180.2166666668</v>
      </c>
      <c r="AT39" s="423">
        <f t="shared" si="38"/>
        <v>1426180.2166666668</v>
      </c>
      <c r="AU39" s="424">
        <f t="shared" si="38"/>
        <v>1426180.2166666668</v>
      </c>
      <c r="AV39" s="424">
        <f t="shared" si="38"/>
        <v>1426180.2166666668</v>
      </c>
      <c r="AW39" s="424">
        <f t="shared" si="38"/>
        <v>1426180.2166666668</v>
      </c>
      <c r="AX39" s="424">
        <f t="shared" si="38"/>
        <v>1426180.2166666668</v>
      </c>
      <c r="AY39" s="424">
        <f t="shared" si="38"/>
        <v>1426180.2166666668</v>
      </c>
      <c r="AZ39" s="424">
        <f t="shared" si="38"/>
        <v>1426180.2166666668</v>
      </c>
      <c r="BA39" s="424">
        <f t="shared" si="38"/>
        <v>1426180.2166666668</v>
      </c>
      <c r="BB39" s="424">
        <f t="shared" si="38"/>
        <v>1426180.2166666668</v>
      </c>
      <c r="BC39" s="424">
        <f t="shared" si="38"/>
        <v>1426180.2166666668</v>
      </c>
      <c r="BD39" s="424">
        <f t="shared" si="38"/>
        <v>1426180.2166666668</v>
      </c>
      <c r="BE39" s="424">
        <f t="shared" si="38"/>
        <v>1426180.2166666668</v>
      </c>
      <c r="BF39" s="424">
        <f t="shared" si="38"/>
        <v>1426180.2166666668</v>
      </c>
      <c r="BG39" s="424">
        <f t="shared" si="38"/>
        <v>1426180.2166666668</v>
      </c>
      <c r="BH39" s="424">
        <f t="shared" si="38"/>
        <v>1426180.2166666668</v>
      </c>
      <c r="BI39" s="424">
        <f t="shared" si="38"/>
        <v>1426180.2166666668</v>
      </c>
      <c r="BJ39" s="424">
        <f t="shared" si="38"/>
        <v>1426180.2166666668</v>
      </c>
      <c r="BK39" s="424">
        <f t="shared" si="38"/>
        <v>1426180.2166666668</v>
      </c>
      <c r="BL39" s="424">
        <f t="shared" si="38"/>
        <v>1426180.2166666668</v>
      </c>
      <c r="BM39" s="424">
        <f t="shared" si="38"/>
        <v>1426180.2166666668</v>
      </c>
      <c r="BN39" s="424">
        <f t="shared" si="38"/>
        <v>1426180.2166666668</v>
      </c>
      <c r="BO39" s="424">
        <f t="shared" si="38"/>
        <v>1426180.2166666668</v>
      </c>
      <c r="BP39" s="424">
        <f t="shared" si="38"/>
        <v>1426180.2166666668</v>
      </c>
      <c r="BQ39" s="424">
        <f t="shared" si="38"/>
        <v>1426180.2166666668</v>
      </c>
      <c r="BR39" s="424">
        <f t="shared" si="38"/>
        <v>1426180.2166666668</v>
      </c>
      <c r="BS39" s="424">
        <f t="shared" ref="BS39:CL39" si="39">$D$39*BS17</f>
        <v>1426180.2166666668</v>
      </c>
      <c r="BT39" s="424">
        <f t="shared" si="39"/>
        <v>1426180.2166666668</v>
      </c>
      <c r="BU39" s="424">
        <f t="shared" si="39"/>
        <v>1426180.2166666668</v>
      </c>
      <c r="BV39" s="424">
        <f t="shared" si="39"/>
        <v>1426180.2166666668</v>
      </c>
      <c r="BW39" s="424">
        <f t="shared" si="39"/>
        <v>1426180.2166666668</v>
      </c>
      <c r="BX39" s="424">
        <f t="shared" si="39"/>
        <v>1426180.2166666668</v>
      </c>
      <c r="BY39" s="424">
        <f t="shared" si="39"/>
        <v>1426180.2166666668</v>
      </c>
      <c r="BZ39" s="424">
        <f t="shared" si="39"/>
        <v>1426180.2166666668</v>
      </c>
      <c r="CA39" s="424">
        <f t="shared" si="39"/>
        <v>1426180.2166666668</v>
      </c>
      <c r="CB39" s="424">
        <f t="shared" si="39"/>
        <v>1426180.2166666668</v>
      </c>
      <c r="CC39" s="424">
        <f t="shared" si="39"/>
        <v>1426180.2166666668</v>
      </c>
      <c r="CD39" s="424">
        <f t="shared" si="39"/>
        <v>1426180.2166666668</v>
      </c>
      <c r="CE39" s="424">
        <f t="shared" si="39"/>
        <v>1426180.2166666668</v>
      </c>
      <c r="CF39" s="424">
        <f t="shared" si="39"/>
        <v>1426180.2166666668</v>
      </c>
      <c r="CG39" s="424">
        <f t="shared" si="39"/>
        <v>1426180.2166666668</v>
      </c>
      <c r="CH39" s="424">
        <f t="shared" si="39"/>
        <v>1426180.2166666668</v>
      </c>
      <c r="CI39" s="424">
        <f t="shared" si="39"/>
        <v>1426180.2166666668</v>
      </c>
      <c r="CJ39" s="424">
        <f t="shared" si="39"/>
        <v>1426180.2166666668</v>
      </c>
      <c r="CK39" s="424">
        <f t="shared" si="39"/>
        <v>1426180.2166666668</v>
      </c>
      <c r="CL39" s="422">
        <f t="shared" si="39"/>
        <v>1426180.2166666668</v>
      </c>
      <c r="CM39" s="397">
        <f t="shared" si="15"/>
        <v>1426180.2166666682</v>
      </c>
      <c r="CN39" s="431" t="s">
        <v>217</v>
      </c>
      <c r="CO39" s="432">
        <v>3</v>
      </c>
      <c r="CP39" s="432">
        <v>3</v>
      </c>
      <c r="CQ39" s="432">
        <v>3</v>
      </c>
      <c r="CR39" s="432">
        <v>3</v>
      </c>
      <c r="CS39" s="432">
        <v>3</v>
      </c>
      <c r="CT39" s="432">
        <v>3</v>
      </c>
      <c r="CU39" s="432">
        <v>3</v>
      </c>
      <c r="CV39" s="432">
        <v>3</v>
      </c>
      <c r="CW39" s="432">
        <v>3</v>
      </c>
      <c r="CX39" s="432">
        <v>3</v>
      </c>
      <c r="CY39" s="432">
        <v>3</v>
      </c>
      <c r="CZ39" s="432">
        <v>3</v>
      </c>
      <c r="DA39" s="432">
        <v>3</v>
      </c>
      <c r="DB39" s="432">
        <v>3</v>
      </c>
      <c r="DC39" s="432">
        <v>3</v>
      </c>
      <c r="DD39" s="432">
        <v>3</v>
      </c>
      <c r="DE39" s="432">
        <v>3</v>
      </c>
      <c r="DF39" s="432">
        <v>3</v>
      </c>
      <c r="DG39" s="432">
        <v>3</v>
      </c>
      <c r="DH39" s="432">
        <v>3</v>
      </c>
      <c r="DI39" s="432">
        <v>3</v>
      </c>
      <c r="DJ39" s="432">
        <v>3</v>
      </c>
      <c r="DK39" s="432">
        <v>3</v>
      </c>
      <c r="DL39" s="432">
        <v>3</v>
      </c>
      <c r="DM39" s="432">
        <v>3</v>
      </c>
      <c r="DN39" s="432">
        <v>3</v>
      </c>
      <c r="DO39" s="432">
        <v>3</v>
      </c>
      <c r="DP39" s="432">
        <v>3</v>
      </c>
      <c r="DQ39" s="432">
        <v>3</v>
      </c>
      <c r="DR39" s="432">
        <v>3</v>
      </c>
      <c r="DS39" s="432">
        <v>3</v>
      </c>
      <c r="DT39" s="432">
        <v>3</v>
      </c>
      <c r="DU39" s="432">
        <v>3</v>
      </c>
      <c r="DV39" s="432">
        <v>3</v>
      </c>
      <c r="DW39" s="432">
        <v>3</v>
      </c>
      <c r="DX39" s="432">
        <v>3</v>
      </c>
      <c r="DY39" s="432">
        <v>3</v>
      </c>
      <c r="DZ39" s="432">
        <v>3</v>
      </c>
      <c r="EA39" s="432">
        <v>3</v>
      </c>
      <c r="EB39" s="432">
        <v>3</v>
      </c>
      <c r="EC39" s="432">
        <v>3</v>
      </c>
      <c r="ED39" s="432">
        <v>3</v>
      </c>
      <c r="EE39" s="432">
        <v>3</v>
      </c>
      <c r="EF39" s="432">
        <v>3</v>
      </c>
      <c r="EG39" s="432">
        <v>3</v>
      </c>
      <c r="EH39" s="432">
        <v>3</v>
      </c>
      <c r="EI39" s="432">
        <v>3</v>
      </c>
      <c r="EJ39" s="432">
        <v>3</v>
      </c>
      <c r="EK39" s="432">
        <v>3</v>
      </c>
      <c r="EL39" s="432">
        <v>3</v>
      </c>
      <c r="EM39" s="432">
        <v>3</v>
      </c>
      <c r="EN39" s="432">
        <v>3</v>
      </c>
      <c r="EO39" s="432">
        <v>3</v>
      </c>
      <c r="EP39" s="432">
        <v>3</v>
      </c>
      <c r="EQ39" s="432">
        <v>3</v>
      </c>
      <c r="ER39" s="432">
        <v>3</v>
      </c>
      <c r="ES39" s="432">
        <v>3</v>
      </c>
      <c r="ET39" s="432">
        <v>3</v>
      </c>
      <c r="EU39" s="432">
        <v>3</v>
      </c>
      <c r="EV39" s="432">
        <v>3</v>
      </c>
      <c r="EW39" s="432">
        <v>3</v>
      </c>
      <c r="EX39" s="432">
        <v>3</v>
      </c>
      <c r="EY39" s="432">
        <v>3</v>
      </c>
      <c r="EZ39" s="432">
        <v>3</v>
      </c>
      <c r="FA39" s="432">
        <v>3</v>
      </c>
      <c r="FB39" s="432">
        <v>3</v>
      </c>
      <c r="FC39" s="432">
        <v>3</v>
      </c>
      <c r="FD39" s="432">
        <v>3</v>
      </c>
      <c r="FE39" s="432">
        <v>3</v>
      </c>
      <c r="FF39" s="432">
        <v>3</v>
      </c>
      <c r="FG39" s="432">
        <v>3</v>
      </c>
      <c r="FH39" s="432">
        <v>3</v>
      </c>
      <c r="FI39" s="432">
        <v>3</v>
      </c>
      <c r="FJ39" s="432">
        <v>3</v>
      </c>
      <c r="FK39" s="432">
        <v>3</v>
      </c>
      <c r="FL39" s="432">
        <v>3</v>
      </c>
      <c r="FM39" s="432">
        <v>3</v>
      </c>
      <c r="FN39" s="432">
        <v>3</v>
      </c>
      <c r="FO39" s="432">
        <v>3</v>
      </c>
      <c r="FP39" s="432">
        <v>3</v>
      </c>
      <c r="FQ39" s="432">
        <v>3</v>
      </c>
      <c r="FR39" s="432">
        <v>3</v>
      </c>
      <c r="FS39" s="432">
        <v>3</v>
      </c>
      <c r="FT39" s="432">
        <v>3</v>
      </c>
      <c r="FU39" s="432">
        <v>3</v>
      </c>
      <c r="FV39" s="271">
        <f t="shared" si="31"/>
        <v>3</v>
      </c>
      <c r="FW39" s="312"/>
    </row>
    <row r="40" spans="1:179">
      <c r="A40" s="1066"/>
      <c r="B40" s="398" t="s">
        <v>305</v>
      </c>
      <c r="C40" s="399" t="s">
        <v>320</v>
      </c>
      <c r="D40" s="399">
        <v>16.829999999999998</v>
      </c>
      <c r="E40" s="1058"/>
      <c r="F40" s="422" t="s">
        <v>321</v>
      </c>
      <c r="G40" s="423">
        <f t="shared" ref="G40:BR40" si="40">16.8349994240702*G17</f>
        <v>1541061.8181131997</v>
      </c>
      <c r="H40" s="423">
        <f t="shared" si="40"/>
        <v>1541061.8181131997</v>
      </c>
      <c r="I40" s="423">
        <f t="shared" si="40"/>
        <v>1541061.8181131997</v>
      </c>
      <c r="J40" s="423">
        <f t="shared" si="40"/>
        <v>1541061.8181131997</v>
      </c>
      <c r="K40" s="423">
        <f t="shared" si="40"/>
        <v>1541061.8181131997</v>
      </c>
      <c r="L40" s="423">
        <f t="shared" si="40"/>
        <v>1541061.8181131997</v>
      </c>
      <c r="M40" s="423">
        <f t="shared" si="40"/>
        <v>1541061.8181131997</v>
      </c>
      <c r="N40" s="423">
        <f t="shared" si="40"/>
        <v>1541061.8181131997</v>
      </c>
      <c r="O40" s="423">
        <f t="shared" si="40"/>
        <v>1541061.8181131997</v>
      </c>
      <c r="P40" s="423">
        <f t="shared" si="40"/>
        <v>1541061.8181131997</v>
      </c>
      <c r="Q40" s="423">
        <f t="shared" si="40"/>
        <v>1541061.8181131997</v>
      </c>
      <c r="R40" s="423">
        <f t="shared" si="40"/>
        <v>1541061.8181131997</v>
      </c>
      <c r="S40" s="423">
        <f t="shared" si="40"/>
        <v>1541061.8181131997</v>
      </c>
      <c r="T40" s="423">
        <f t="shared" si="40"/>
        <v>1541061.8181131997</v>
      </c>
      <c r="U40" s="423">
        <f t="shared" si="40"/>
        <v>1541061.8181131997</v>
      </c>
      <c r="V40" s="423">
        <f t="shared" si="40"/>
        <v>1541061.8181131997</v>
      </c>
      <c r="W40" s="423">
        <f t="shared" si="40"/>
        <v>1541061.8181131997</v>
      </c>
      <c r="X40" s="423">
        <f t="shared" si="40"/>
        <v>1541061.8181131997</v>
      </c>
      <c r="Y40" s="423">
        <f t="shared" si="40"/>
        <v>1541061.8181131997</v>
      </c>
      <c r="Z40" s="423">
        <f t="shared" si="40"/>
        <v>1541061.8181131997</v>
      </c>
      <c r="AA40" s="423">
        <f t="shared" si="40"/>
        <v>1541061.8181131997</v>
      </c>
      <c r="AB40" s="423">
        <f t="shared" si="40"/>
        <v>1541061.8181131997</v>
      </c>
      <c r="AC40" s="423">
        <f t="shared" si="40"/>
        <v>1541061.8181131997</v>
      </c>
      <c r="AD40" s="423">
        <f t="shared" si="40"/>
        <v>1541061.8181131997</v>
      </c>
      <c r="AE40" s="423">
        <f t="shared" si="40"/>
        <v>1541061.8181131997</v>
      </c>
      <c r="AF40" s="423">
        <f t="shared" si="40"/>
        <v>1541061.8181131997</v>
      </c>
      <c r="AG40" s="423">
        <f t="shared" si="40"/>
        <v>1541061.8181131997</v>
      </c>
      <c r="AH40" s="423">
        <f t="shared" si="40"/>
        <v>1541061.8181131997</v>
      </c>
      <c r="AI40" s="423">
        <f t="shared" si="40"/>
        <v>1541061.8181131997</v>
      </c>
      <c r="AJ40" s="423">
        <f t="shared" si="40"/>
        <v>1541061.8181131997</v>
      </c>
      <c r="AK40" s="423">
        <f t="shared" si="40"/>
        <v>1541061.8181131997</v>
      </c>
      <c r="AL40" s="423">
        <f t="shared" si="40"/>
        <v>1541061.8181131997</v>
      </c>
      <c r="AM40" s="423">
        <f t="shared" si="40"/>
        <v>1541061.8181131997</v>
      </c>
      <c r="AN40" s="423">
        <f t="shared" si="40"/>
        <v>1541061.8181131997</v>
      </c>
      <c r="AO40" s="423">
        <f t="shared" si="40"/>
        <v>1541061.8181131997</v>
      </c>
      <c r="AP40" s="423">
        <f t="shared" si="40"/>
        <v>1541061.8181131997</v>
      </c>
      <c r="AQ40" s="423">
        <f t="shared" si="40"/>
        <v>1541061.8181131997</v>
      </c>
      <c r="AR40" s="423">
        <f t="shared" si="40"/>
        <v>1541061.8181131997</v>
      </c>
      <c r="AS40" s="423">
        <f t="shared" si="40"/>
        <v>1541061.8181131997</v>
      </c>
      <c r="AT40" s="423">
        <f t="shared" si="40"/>
        <v>1541061.8181131997</v>
      </c>
      <c r="AU40" s="424">
        <f t="shared" si="40"/>
        <v>1541061.8181131997</v>
      </c>
      <c r="AV40" s="424">
        <f t="shared" si="40"/>
        <v>1541061.8181131997</v>
      </c>
      <c r="AW40" s="424">
        <f t="shared" si="40"/>
        <v>1541061.8181131997</v>
      </c>
      <c r="AX40" s="424">
        <f t="shared" si="40"/>
        <v>1541061.8181131997</v>
      </c>
      <c r="AY40" s="424">
        <f t="shared" si="40"/>
        <v>1541061.8181131997</v>
      </c>
      <c r="AZ40" s="424">
        <f t="shared" si="40"/>
        <v>1541061.8181131997</v>
      </c>
      <c r="BA40" s="424">
        <f t="shared" si="40"/>
        <v>1541061.8181131997</v>
      </c>
      <c r="BB40" s="424">
        <f t="shared" si="40"/>
        <v>1541061.8181131997</v>
      </c>
      <c r="BC40" s="424">
        <f t="shared" si="40"/>
        <v>1541061.8181131997</v>
      </c>
      <c r="BD40" s="424">
        <f t="shared" si="40"/>
        <v>1541061.8181131997</v>
      </c>
      <c r="BE40" s="424">
        <f t="shared" si="40"/>
        <v>1541061.8181131997</v>
      </c>
      <c r="BF40" s="424">
        <f t="shared" si="40"/>
        <v>1541061.8181131997</v>
      </c>
      <c r="BG40" s="424">
        <f t="shared" si="40"/>
        <v>1541061.8181131997</v>
      </c>
      <c r="BH40" s="424">
        <f t="shared" si="40"/>
        <v>1541061.8181131997</v>
      </c>
      <c r="BI40" s="424">
        <f t="shared" si="40"/>
        <v>1541061.8181131997</v>
      </c>
      <c r="BJ40" s="424">
        <f t="shared" si="40"/>
        <v>1541061.8181131997</v>
      </c>
      <c r="BK40" s="424">
        <f t="shared" si="40"/>
        <v>1541061.8181131997</v>
      </c>
      <c r="BL40" s="424">
        <f t="shared" si="40"/>
        <v>1541061.8181131997</v>
      </c>
      <c r="BM40" s="424">
        <f t="shared" si="40"/>
        <v>1541061.8181131997</v>
      </c>
      <c r="BN40" s="424">
        <f t="shared" si="40"/>
        <v>1541061.8181131997</v>
      </c>
      <c r="BO40" s="424">
        <f t="shared" si="40"/>
        <v>1541061.8181131997</v>
      </c>
      <c r="BP40" s="424">
        <f t="shared" si="40"/>
        <v>1541061.8181131997</v>
      </c>
      <c r="BQ40" s="424">
        <f t="shared" si="40"/>
        <v>1541061.8181131997</v>
      </c>
      <c r="BR40" s="424">
        <f t="shared" si="40"/>
        <v>1541061.8181131997</v>
      </c>
      <c r="BS40" s="424">
        <f t="shared" ref="BS40:CL40" si="41">16.8349994240702*BS17</f>
        <v>1541061.8181131997</v>
      </c>
      <c r="BT40" s="424">
        <f t="shared" si="41"/>
        <v>1541061.8181131997</v>
      </c>
      <c r="BU40" s="424">
        <f t="shared" si="41"/>
        <v>1541061.8181131997</v>
      </c>
      <c r="BV40" s="424">
        <f t="shared" si="41"/>
        <v>1541061.8181131997</v>
      </c>
      <c r="BW40" s="424">
        <f t="shared" si="41"/>
        <v>1541061.8181131997</v>
      </c>
      <c r="BX40" s="424">
        <f t="shared" si="41"/>
        <v>1541061.8181131997</v>
      </c>
      <c r="BY40" s="424">
        <f t="shared" si="41"/>
        <v>1541061.8181131997</v>
      </c>
      <c r="BZ40" s="424">
        <f t="shared" si="41"/>
        <v>1541061.8181131997</v>
      </c>
      <c r="CA40" s="424">
        <f t="shared" si="41"/>
        <v>1541061.8181131997</v>
      </c>
      <c r="CB40" s="424">
        <f t="shared" si="41"/>
        <v>1541061.8181131997</v>
      </c>
      <c r="CC40" s="424">
        <f t="shared" si="41"/>
        <v>1541061.8181131997</v>
      </c>
      <c r="CD40" s="424">
        <f t="shared" si="41"/>
        <v>1541061.8181131997</v>
      </c>
      <c r="CE40" s="424">
        <f t="shared" si="41"/>
        <v>1541061.8181131997</v>
      </c>
      <c r="CF40" s="424">
        <f t="shared" si="41"/>
        <v>1541061.8181131997</v>
      </c>
      <c r="CG40" s="424">
        <f t="shared" si="41"/>
        <v>1541061.8181131997</v>
      </c>
      <c r="CH40" s="424">
        <f t="shared" si="41"/>
        <v>1541061.8181131997</v>
      </c>
      <c r="CI40" s="424">
        <f t="shared" si="41"/>
        <v>1541061.8181131997</v>
      </c>
      <c r="CJ40" s="424">
        <f t="shared" si="41"/>
        <v>1541061.8181131997</v>
      </c>
      <c r="CK40" s="424">
        <f t="shared" si="41"/>
        <v>1541061.8181131997</v>
      </c>
      <c r="CL40" s="422">
        <f t="shared" si="41"/>
        <v>1541061.8181131997</v>
      </c>
      <c r="CM40" s="397">
        <f t="shared" si="15"/>
        <v>1541061.8181131966</v>
      </c>
      <c r="CN40" s="431" t="s">
        <v>218</v>
      </c>
      <c r="CO40" s="432">
        <v>2.4500000000000002</v>
      </c>
      <c r="CP40" s="432">
        <v>2.4500000000000002</v>
      </c>
      <c r="CQ40" s="432">
        <v>2.4500000000000002</v>
      </c>
      <c r="CR40" s="432">
        <v>2.4500000000000002</v>
      </c>
      <c r="CS40" s="432">
        <v>2.4500000000000002</v>
      </c>
      <c r="CT40" s="432">
        <v>2.4500000000000002</v>
      </c>
      <c r="CU40" s="432">
        <v>2.4500000000000002</v>
      </c>
      <c r="CV40" s="432">
        <v>2.4500000000000002</v>
      </c>
      <c r="CW40" s="432">
        <v>2.4500000000000002</v>
      </c>
      <c r="CX40" s="432">
        <v>2.4500000000000002</v>
      </c>
      <c r="CY40" s="432">
        <v>2.4500000000000002</v>
      </c>
      <c r="CZ40" s="432">
        <v>2.4500000000000002</v>
      </c>
      <c r="DA40" s="432">
        <v>2.4500000000000002</v>
      </c>
      <c r="DB40" s="432">
        <v>2.4500000000000002</v>
      </c>
      <c r="DC40" s="432">
        <v>2.4500000000000002</v>
      </c>
      <c r="DD40" s="432">
        <v>2.4500000000000002</v>
      </c>
      <c r="DE40" s="432">
        <v>2.4500000000000002</v>
      </c>
      <c r="DF40" s="432">
        <v>2.4500000000000002</v>
      </c>
      <c r="DG40" s="432">
        <v>2.4500000000000002</v>
      </c>
      <c r="DH40" s="432">
        <v>2.4500000000000002</v>
      </c>
      <c r="DI40" s="432">
        <v>2.4500000000000002</v>
      </c>
      <c r="DJ40" s="432">
        <v>2.4500000000000002</v>
      </c>
      <c r="DK40" s="432">
        <v>2.4500000000000002</v>
      </c>
      <c r="DL40" s="432">
        <v>2.4500000000000002</v>
      </c>
      <c r="DM40" s="432">
        <v>2.4500000000000002</v>
      </c>
      <c r="DN40" s="432">
        <v>2.4500000000000002</v>
      </c>
      <c r="DO40" s="432">
        <v>2.4500000000000002</v>
      </c>
      <c r="DP40" s="432">
        <v>2.4500000000000002</v>
      </c>
      <c r="DQ40" s="432">
        <v>2.4500000000000002</v>
      </c>
      <c r="DR40" s="432">
        <v>2.4500000000000002</v>
      </c>
      <c r="DS40" s="432">
        <v>2.4500000000000002</v>
      </c>
      <c r="DT40" s="432">
        <v>2.4500000000000002</v>
      </c>
      <c r="DU40" s="432">
        <v>2.4500000000000002</v>
      </c>
      <c r="DV40" s="432">
        <v>2.4500000000000002</v>
      </c>
      <c r="DW40" s="432">
        <v>2.4500000000000002</v>
      </c>
      <c r="DX40" s="432">
        <v>2.4500000000000002</v>
      </c>
      <c r="DY40" s="432">
        <v>2.4500000000000002</v>
      </c>
      <c r="DZ40" s="432">
        <v>2.4500000000000002</v>
      </c>
      <c r="EA40" s="432">
        <v>2.4500000000000002</v>
      </c>
      <c r="EB40" s="432">
        <v>2.4500000000000002</v>
      </c>
      <c r="EC40" s="432">
        <v>2.4500000000000002</v>
      </c>
      <c r="ED40" s="432">
        <v>2.4500000000000002</v>
      </c>
      <c r="EE40" s="432">
        <v>2.4500000000000002</v>
      </c>
      <c r="EF40" s="432">
        <v>2.4500000000000002</v>
      </c>
      <c r="EG40" s="432">
        <v>2.4500000000000002</v>
      </c>
      <c r="EH40" s="432">
        <v>2.4500000000000002</v>
      </c>
      <c r="EI40" s="432">
        <v>2.4500000000000002</v>
      </c>
      <c r="EJ40" s="432">
        <v>2.4500000000000002</v>
      </c>
      <c r="EK40" s="432">
        <v>2.4500000000000002</v>
      </c>
      <c r="EL40" s="432">
        <v>2.4500000000000002</v>
      </c>
      <c r="EM40" s="432">
        <v>2.4500000000000002</v>
      </c>
      <c r="EN40" s="432">
        <v>2.4500000000000002</v>
      </c>
      <c r="EO40" s="432">
        <v>2.4500000000000002</v>
      </c>
      <c r="EP40" s="432">
        <v>2.4500000000000002</v>
      </c>
      <c r="EQ40" s="432">
        <v>2.4500000000000002</v>
      </c>
      <c r="ER40" s="432">
        <v>2.4500000000000002</v>
      </c>
      <c r="ES40" s="432">
        <v>2.4500000000000002</v>
      </c>
      <c r="ET40" s="432">
        <v>2.4500000000000002</v>
      </c>
      <c r="EU40" s="432">
        <v>2.4500000000000002</v>
      </c>
      <c r="EV40" s="432">
        <v>2.4500000000000002</v>
      </c>
      <c r="EW40" s="432">
        <v>2.4500000000000002</v>
      </c>
      <c r="EX40" s="432">
        <v>2.4500000000000002</v>
      </c>
      <c r="EY40" s="432">
        <v>2.4500000000000002</v>
      </c>
      <c r="EZ40" s="432">
        <v>2.4500000000000002</v>
      </c>
      <c r="FA40" s="432">
        <v>2.4500000000000002</v>
      </c>
      <c r="FB40" s="432">
        <v>2.4500000000000002</v>
      </c>
      <c r="FC40" s="432">
        <v>2.4500000000000002</v>
      </c>
      <c r="FD40" s="432">
        <v>2.4500000000000002</v>
      </c>
      <c r="FE40" s="432">
        <v>2.4500000000000002</v>
      </c>
      <c r="FF40" s="432">
        <v>2.4500000000000002</v>
      </c>
      <c r="FG40" s="432">
        <v>2.4500000000000002</v>
      </c>
      <c r="FH40" s="432">
        <v>2.4500000000000002</v>
      </c>
      <c r="FI40" s="432">
        <v>2.4500000000000002</v>
      </c>
      <c r="FJ40" s="432">
        <v>2.4500000000000002</v>
      </c>
      <c r="FK40" s="432">
        <v>2.4500000000000002</v>
      </c>
      <c r="FL40" s="432">
        <v>2.4500000000000002</v>
      </c>
      <c r="FM40" s="432">
        <v>2.4500000000000002</v>
      </c>
      <c r="FN40" s="432">
        <v>2.4500000000000002</v>
      </c>
      <c r="FO40" s="432">
        <v>2.4500000000000002</v>
      </c>
      <c r="FP40" s="432">
        <v>2.4500000000000002</v>
      </c>
      <c r="FQ40" s="432">
        <v>2.4500000000000002</v>
      </c>
      <c r="FR40" s="432">
        <v>2.4500000000000002</v>
      </c>
      <c r="FS40" s="432">
        <v>2.4500000000000002</v>
      </c>
      <c r="FT40" s="432">
        <v>2.4500000000000002</v>
      </c>
      <c r="FU40" s="432">
        <v>2.4500000000000002</v>
      </c>
      <c r="FV40" s="271">
        <f t="shared" si="31"/>
        <v>2.450000000000002</v>
      </c>
      <c r="FW40" s="312"/>
    </row>
    <row r="41" spans="1:179">
      <c r="A41" s="1066"/>
      <c r="B41" s="398" t="s">
        <v>305</v>
      </c>
      <c r="C41" s="399" t="s">
        <v>147</v>
      </c>
      <c r="D41" s="399">
        <v>2.8000000000000001E-2</v>
      </c>
      <c r="E41" s="1058"/>
      <c r="F41" s="433" t="s">
        <v>322</v>
      </c>
      <c r="G41" s="423">
        <f t="shared" ref="G41:BR41" si="42">$D$41*G17</f>
        <v>2563.0966666666668</v>
      </c>
      <c r="H41" s="423">
        <f t="shared" si="42"/>
        <v>2563.0966666666668</v>
      </c>
      <c r="I41" s="423">
        <f t="shared" si="42"/>
        <v>2563.0966666666668</v>
      </c>
      <c r="J41" s="423">
        <f t="shared" si="42"/>
        <v>2563.0966666666668</v>
      </c>
      <c r="K41" s="423">
        <f t="shared" si="42"/>
        <v>2563.0966666666668</v>
      </c>
      <c r="L41" s="423">
        <f t="shared" si="42"/>
        <v>2563.0966666666668</v>
      </c>
      <c r="M41" s="423">
        <f t="shared" si="42"/>
        <v>2563.0966666666668</v>
      </c>
      <c r="N41" s="423">
        <f t="shared" si="42"/>
        <v>2563.0966666666668</v>
      </c>
      <c r="O41" s="423">
        <f t="shared" si="42"/>
        <v>2563.0966666666668</v>
      </c>
      <c r="P41" s="423">
        <f t="shared" si="42"/>
        <v>2563.0966666666668</v>
      </c>
      <c r="Q41" s="423">
        <f t="shared" si="42"/>
        <v>2563.0966666666668</v>
      </c>
      <c r="R41" s="423">
        <f t="shared" si="42"/>
        <v>2563.0966666666668</v>
      </c>
      <c r="S41" s="423">
        <f t="shared" si="42"/>
        <v>2563.0966666666668</v>
      </c>
      <c r="T41" s="423">
        <f t="shared" si="42"/>
        <v>2563.0966666666668</v>
      </c>
      <c r="U41" s="423">
        <f t="shared" si="42"/>
        <v>2563.0966666666668</v>
      </c>
      <c r="V41" s="423">
        <f t="shared" si="42"/>
        <v>2563.0966666666668</v>
      </c>
      <c r="W41" s="423">
        <f t="shared" si="42"/>
        <v>2563.0966666666668</v>
      </c>
      <c r="X41" s="423">
        <f t="shared" si="42"/>
        <v>2563.0966666666668</v>
      </c>
      <c r="Y41" s="423">
        <f t="shared" si="42"/>
        <v>2563.0966666666668</v>
      </c>
      <c r="Z41" s="423">
        <f t="shared" si="42"/>
        <v>2563.0966666666668</v>
      </c>
      <c r="AA41" s="423">
        <f t="shared" si="42"/>
        <v>2563.0966666666668</v>
      </c>
      <c r="AB41" s="423">
        <f t="shared" si="42"/>
        <v>2563.0966666666668</v>
      </c>
      <c r="AC41" s="423">
        <f t="shared" si="42"/>
        <v>2563.0966666666668</v>
      </c>
      <c r="AD41" s="423">
        <f t="shared" si="42"/>
        <v>2563.0966666666668</v>
      </c>
      <c r="AE41" s="423">
        <f t="shared" si="42"/>
        <v>2563.0966666666668</v>
      </c>
      <c r="AF41" s="423">
        <f t="shared" si="42"/>
        <v>2563.0966666666668</v>
      </c>
      <c r="AG41" s="423">
        <f t="shared" si="42"/>
        <v>2563.0966666666668</v>
      </c>
      <c r="AH41" s="423">
        <f t="shared" si="42"/>
        <v>2563.0966666666668</v>
      </c>
      <c r="AI41" s="423">
        <f t="shared" si="42"/>
        <v>2563.0966666666668</v>
      </c>
      <c r="AJ41" s="423">
        <f t="shared" si="42"/>
        <v>2563.0966666666668</v>
      </c>
      <c r="AK41" s="423">
        <f t="shared" si="42"/>
        <v>2563.0966666666668</v>
      </c>
      <c r="AL41" s="423">
        <f t="shared" si="42"/>
        <v>2563.0966666666668</v>
      </c>
      <c r="AM41" s="423">
        <f t="shared" si="42"/>
        <v>2563.0966666666668</v>
      </c>
      <c r="AN41" s="423">
        <f t="shared" si="42"/>
        <v>2563.0966666666668</v>
      </c>
      <c r="AO41" s="423">
        <f t="shared" si="42"/>
        <v>2563.0966666666668</v>
      </c>
      <c r="AP41" s="423">
        <f t="shared" si="42"/>
        <v>2563.0966666666668</v>
      </c>
      <c r="AQ41" s="423">
        <f t="shared" si="42"/>
        <v>2563.0966666666668</v>
      </c>
      <c r="AR41" s="423">
        <f t="shared" si="42"/>
        <v>2563.0966666666668</v>
      </c>
      <c r="AS41" s="423">
        <f t="shared" si="42"/>
        <v>2563.0966666666668</v>
      </c>
      <c r="AT41" s="423">
        <f t="shared" si="42"/>
        <v>2563.0966666666668</v>
      </c>
      <c r="AU41" s="424">
        <f t="shared" si="42"/>
        <v>2563.0966666666668</v>
      </c>
      <c r="AV41" s="424">
        <f t="shared" si="42"/>
        <v>2563.0966666666668</v>
      </c>
      <c r="AW41" s="424">
        <f t="shared" si="42"/>
        <v>2563.0966666666668</v>
      </c>
      <c r="AX41" s="424">
        <f t="shared" si="42"/>
        <v>2563.0966666666668</v>
      </c>
      <c r="AY41" s="424">
        <f t="shared" si="42"/>
        <v>2563.0966666666668</v>
      </c>
      <c r="AZ41" s="424">
        <f t="shared" si="42"/>
        <v>2563.0966666666668</v>
      </c>
      <c r="BA41" s="424">
        <f t="shared" si="42"/>
        <v>2563.0966666666668</v>
      </c>
      <c r="BB41" s="424">
        <f t="shared" si="42"/>
        <v>2563.0966666666668</v>
      </c>
      <c r="BC41" s="424">
        <f t="shared" si="42"/>
        <v>2563.0966666666668</v>
      </c>
      <c r="BD41" s="424">
        <f t="shared" si="42"/>
        <v>2563.0966666666668</v>
      </c>
      <c r="BE41" s="424">
        <f t="shared" si="42"/>
        <v>2563.0966666666668</v>
      </c>
      <c r="BF41" s="424">
        <f t="shared" si="42"/>
        <v>2563.0966666666668</v>
      </c>
      <c r="BG41" s="424">
        <f t="shared" si="42"/>
        <v>2563.0966666666668</v>
      </c>
      <c r="BH41" s="424">
        <f t="shared" si="42"/>
        <v>2563.0966666666668</v>
      </c>
      <c r="BI41" s="424">
        <f t="shared" si="42"/>
        <v>2563.0966666666668</v>
      </c>
      <c r="BJ41" s="424">
        <f t="shared" si="42"/>
        <v>2563.0966666666668</v>
      </c>
      <c r="BK41" s="424">
        <f t="shared" si="42"/>
        <v>2563.0966666666668</v>
      </c>
      <c r="BL41" s="424">
        <f t="shared" si="42"/>
        <v>2563.0966666666668</v>
      </c>
      <c r="BM41" s="424">
        <f t="shared" si="42"/>
        <v>2563.0966666666668</v>
      </c>
      <c r="BN41" s="424">
        <f t="shared" si="42"/>
        <v>2563.0966666666668</v>
      </c>
      <c r="BO41" s="424">
        <f t="shared" si="42"/>
        <v>2563.0966666666668</v>
      </c>
      <c r="BP41" s="424">
        <f t="shared" si="42"/>
        <v>2563.0966666666668</v>
      </c>
      <c r="BQ41" s="424">
        <f t="shared" si="42"/>
        <v>2563.0966666666668</v>
      </c>
      <c r="BR41" s="424">
        <f t="shared" si="42"/>
        <v>2563.0966666666668</v>
      </c>
      <c r="BS41" s="424">
        <f t="shared" ref="BS41:CL41" si="43">$D$41*BS17</f>
        <v>2563.0966666666668</v>
      </c>
      <c r="BT41" s="424">
        <f t="shared" si="43"/>
        <v>2563.0966666666668</v>
      </c>
      <c r="BU41" s="424">
        <f t="shared" si="43"/>
        <v>2563.0966666666668</v>
      </c>
      <c r="BV41" s="424">
        <f t="shared" si="43"/>
        <v>2563.0966666666668</v>
      </c>
      <c r="BW41" s="424">
        <f t="shared" si="43"/>
        <v>2563.0966666666668</v>
      </c>
      <c r="BX41" s="424">
        <f t="shared" si="43"/>
        <v>2563.0966666666668</v>
      </c>
      <c r="BY41" s="424">
        <f t="shared" si="43"/>
        <v>2563.0966666666668</v>
      </c>
      <c r="BZ41" s="424">
        <f t="shared" si="43"/>
        <v>2563.0966666666668</v>
      </c>
      <c r="CA41" s="424">
        <f t="shared" si="43"/>
        <v>2563.0966666666668</v>
      </c>
      <c r="CB41" s="424">
        <f t="shared" si="43"/>
        <v>2563.0966666666668</v>
      </c>
      <c r="CC41" s="424">
        <f t="shared" si="43"/>
        <v>2563.0966666666668</v>
      </c>
      <c r="CD41" s="424">
        <f t="shared" si="43"/>
        <v>2563.0966666666668</v>
      </c>
      <c r="CE41" s="424">
        <f t="shared" si="43"/>
        <v>2563.0966666666668</v>
      </c>
      <c r="CF41" s="424">
        <f t="shared" si="43"/>
        <v>2563.0966666666668</v>
      </c>
      <c r="CG41" s="424">
        <f t="shared" si="43"/>
        <v>2563.0966666666668</v>
      </c>
      <c r="CH41" s="424">
        <f t="shared" si="43"/>
        <v>2563.0966666666668</v>
      </c>
      <c r="CI41" s="424">
        <f t="shared" si="43"/>
        <v>2563.0966666666668</v>
      </c>
      <c r="CJ41" s="424">
        <f t="shared" si="43"/>
        <v>2563.0966666666668</v>
      </c>
      <c r="CK41" s="424">
        <f t="shared" si="43"/>
        <v>2563.0966666666668</v>
      </c>
      <c r="CL41" s="422">
        <f t="shared" si="43"/>
        <v>2563.0966666666668</v>
      </c>
      <c r="CM41" s="397">
        <f t="shared" si="15"/>
        <v>2563.0966666666709</v>
      </c>
      <c r="CN41" s="431" t="s">
        <v>219</v>
      </c>
      <c r="CO41" s="432">
        <v>752</v>
      </c>
      <c r="CP41" s="432">
        <v>752</v>
      </c>
      <c r="CQ41" s="432">
        <v>752</v>
      </c>
      <c r="CR41" s="432">
        <v>752</v>
      </c>
      <c r="CS41" s="432">
        <v>752</v>
      </c>
      <c r="CT41" s="432">
        <v>752</v>
      </c>
      <c r="CU41" s="432">
        <v>752</v>
      </c>
      <c r="CV41" s="432">
        <v>752</v>
      </c>
      <c r="CW41" s="432">
        <v>752</v>
      </c>
      <c r="CX41" s="432">
        <v>752</v>
      </c>
      <c r="CY41" s="432">
        <v>752</v>
      </c>
      <c r="CZ41" s="432">
        <v>752</v>
      </c>
      <c r="DA41" s="432">
        <v>752</v>
      </c>
      <c r="DB41" s="432">
        <v>752</v>
      </c>
      <c r="DC41" s="432">
        <v>752</v>
      </c>
      <c r="DD41" s="432">
        <v>752</v>
      </c>
      <c r="DE41" s="432">
        <v>752</v>
      </c>
      <c r="DF41" s="432">
        <v>752</v>
      </c>
      <c r="DG41" s="432">
        <v>752</v>
      </c>
      <c r="DH41" s="432">
        <v>752</v>
      </c>
      <c r="DI41" s="432">
        <v>752</v>
      </c>
      <c r="DJ41" s="432">
        <v>752</v>
      </c>
      <c r="DK41" s="432">
        <v>752</v>
      </c>
      <c r="DL41" s="432">
        <v>752</v>
      </c>
      <c r="DM41" s="432">
        <v>752</v>
      </c>
      <c r="DN41" s="432">
        <v>752</v>
      </c>
      <c r="DO41" s="432">
        <v>752</v>
      </c>
      <c r="DP41" s="432">
        <v>752</v>
      </c>
      <c r="DQ41" s="432">
        <v>752</v>
      </c>
      <c r="DR41" s="432">
        <v>752</v>
      </c>
      <c r="DS41" s="432">
        <v>752</v>
      </c>
      <c r="DT41" s="432">
        <v>752</v>
      </c>
      <c r="DU41" s="432">
        <v>752</v>
      </c>
      <c r="DV41" s="432">
        <v>752</v>
      </c>
      <c r="DW41" s="432">
        <v>752</v>
      </c>
      <c r="DX41" s="432">
        <v>752</v>
      </c>
      <c r="DY41" s="432">
        <v>752</v>
      </c>
      <c r="DZ41" s="432">
        <v>752</v>
      </c>
      <c r="EA41" s="432">
        <v>752</v>
      </c>
      <c r="EB41" s="432">
        <v>752</v>
      </c>
      <c r="EC41" s="432">
        <v>752</v>
      </c>
      <c r="ED41" s="432">
        <v>752</v>
      </c>
      <c r="EE41" s="432">
        <v>752</v>
      </c>
      <c r="EF41" s="432">
        <v>752</v>
      </c>
      <c r="EG41" s="432">
        <v>752</v>
      </c>
      <c r="EH41" s="432">
        <v>752</v>
      </c>
      <c r="EI41" s="432">
        <v>752</v>
      </c>
      <c r="EJ41" s="432">
        <v>752</v>
      </c>
      <c r="EK41" s="432">
        <v>752</v>
      </c>
      <c r="EL41" s="432">
        <v>752</v>
      </c>
      <c r="EM41" s="432">
        <v>752</v>
      </c>
      <c r="EN41" s="432">
        <v>752</v>
      </c>
      <c r="EO41" s="432">
        <v>752</v>
      </c>
      <c r="EP41" s="432">
        <v>752</v>
      </c>
      <c r="EQ41" s="432">
        <v>752</v>
      </c>
      <c r="ER41" s="432">
        <v>752</v>
      </c>
      <c r="ES41" s="432">
        <v>752</v>
      </c>
      <c r="ET41" s="432">
        <v>752</v>
      </c>
      <c r="EU41" s="432">
        <v>752</v>
      </c>
      <c r="EV41" s="432">
        <v>752</v>
      </c>
      <c r="EW41" s="432">
        <v>752</v>
      </c>
      <c r="EX41" s="432">
        <v>752</v>
      </c>
      <c r="EY41" s="432">
        <v>752</v>
      </c>
      <c r="EZ41" s="432">
        <v>752</v>
      </c>
      <c r="FA41" s="432">
        <v>752</v>
      </c>
      <c r="FB41" s="432">
        <v>752</v>
      </c>
      <c r="FC41" s="432">
        <v>752</v>
      </c>
      <c r="FD41" s="432">
        <v>752</v>
      </c>
      <c r="FE41" s="432">
        <v>752</v>
      </c>
      <c r="FF41" s="432">
        <v>752</v>
      </c>
      <c r="FG41" s="432">
        <v>752</v>
      </c>
      <c r="FH41" s="432">
        <v>752</v>
      </c>
      <c r="FI41" s="432">
        <v>752</v>
      </c>
      <c r="FJ41" s="432">
        <v>752</v>
      </c>
      <c r="FK41" s="432">
        <v>752</v>
      </c>
      <c r="FL41" s="432">
        <v>752</v>
      </c>
      <c r="FM41" s="432">
        <v>752</v>
      </c>
      <c r="FN41" s="432">
        <v>752</v>
      </c>
      <c r="FO41" s="432">
        <v>752</v>
      </c>
      <c r="FP41" s="432">
        <v>752</v>
      </c>
      <c r="FQ41" s="432">
        <v>752</v>
      </c>
      <c r="FR41" s="432">
        <v>752</v>
      </c>
      <c r="FS41" s="432">
        <v>752</v>
      </c>
      <c r="FT41" s="432">
        <v>752</v>
      </c>
      <c r="FU41" s="432">
        <v>752</v>
      </c>
      <c r="FV41" s="271">
        <f t="shared" si="31"/>
        <v>752</v>
      </c>
      <c r="FW41" s="312"/>
    </row>
    <row r="42" spans="1:179">
      <c r="A42" s="434"/>
      <c r="B42" s="435" t="s">
        <v>305</v>
      </c>
      <c r="C42" s="436" t="s">
        <v>323</v>
      </c>
      <c r="D42" s="436"/>
      <c r="E42" s="437"/>
      <c r="F42" s="438" t="s">
        <v>324</v>
      </c>
      <c r="G42" s="439">
        <f t="shared" ref="G42:BR42" si="44">G35*CP36+G37*CP37+G38*CP35+G39*CP38+G36*CP39+CP40*G40+G41*CP41</f>
        <v>477339859.75181001</v>
      </c>
      <c r="H42" s="439">
        <f t="shared" si="44"/>
        <v>477339859.75181001</v>
      </c>
      <c r="I42" s="439">
        <f t="shared" si="44"/>
        <v>477339859.75181001</v>
      </c>
      <c r="J42" s="439">
        <f t="shared" si="44"/>
        <v>477341397.60980999</v>
      </c>
      <c r="K42" s="439">
        <f t="shared" si="44"/>
        <v>477697942.66397667</v>
      </c>
      <c r="L42" s="439">
        <f t="shared" si="44"/>
        <v>477698455.28331</v>
      </c>
      <c r="M42" s="439">
        <f t="shared" si="44"/>
        <v>477698455.28331</v>
      </c>
      <c r="N42" s="439">
        <f t="shared" si="44"/>
        <v>478699877.0237214</v>
      </c>
      <c r="O42" s="439">
        <f t="shared" si="44"/>
        <v>477698967.90264332</v>
      </c>
      <c r="P42" s="439">
        <f t="shared" si="44"/>
        <v>478701799.34622139</v>
      </c>
      <c r="Q42" s="439">
        <f t="shared" si="44"/>
        <v>479702708.46730095</v>
      </c>
      <c r="R42" s="439">
        <f t="shared" si="44"/>
        <v>480703617.58838046</v>
      </c>
      <c r="S42" s="439">
        <f t="shared" si="44"/>
        <v>481705039.32879186</v>
      </c>
      <c r="T42" s="439">
        <f t="shared" si="44"/>
        <v>482707675.01980197</v>
      </c>
      <c r="U42" s="439">
        <f t="shared" si="44"/>
        <v>483708770.14262933</v>
      </c>
      <c r="V42" s="439">
        <f t="shared" si="44"/>
        <v>484791866.97104126</v>
      </c>
      <c r="W42" s="439">
        <f t="shared" si="44"/>
        <v>485763063.50553155</v>
      </c>
      <c r="X42" s="439">
        <f t="shared" si="44"/>
        <v>486734260.04002035</v>
      </c>
      <c r="Y42" s="439">
        <f t="shared" si="44"/>
        <v>487705456.57451063</v>
      </c>
      <c r="Z42" s="439">
        <f t="shared" si="44"/>
        <v>488676653.10900104</v>
      </c>
      <c r="AA42" s="439">
        <f t="shared" si="44"/>
        <v>489647849.64348972</v>
      </c>
      <c r="AB42" s="439">
        <f t="shared" si="44"/>
        <v>490619046.17798007</v>
      </c>
      <c r="AC42" s="439">
        <f t="shared" si="44"/>
        <v>491590242.71247041</v>
      </c>
      <c r="AD42" s="439">
        <f t="shared" si="44"/>
        <v>492561439.24695915</v>
      </c>
      <c r="AE42" s="439">
        <f t="shared" si="44"/>
        <v>493533989.38562572</v>
      </c>
      <c r="AF42" s="439">
        <f t="shared" si="44"/>
        <v>494503832.31593835</v>
      </c>
      <c r="AG42" s="439">
        <f t="shared" si="44"/>
        <v>495475369.67694241</v>
      </c>
      <c r="AH42" s="439">
        <f t="shared" si="44"/>
        <v>496446225.38491893</v>
      </c>
      <c r="AI42" s="439">
        <f t="shared" si="44"/>
        <v>497417421.91940773</v>
      </c>
      <c r="AJ42" s="439">
        <f t="shared" si="44"/>
        <v>498388618.45389795</v>
      </c>
      <c r="AK42" s="439">
        <f t="shared" si="44"/>
        <v>499359814.98838836</v>
      </c>
      <c r="AL42" s="439">
        <f t="shared" si="44"/>
        <v>500331011.5228771</v>
      </c>
      <c r="AM42" s="439">
        <f t="shared" si="44"/>
        <v>501302208.05736738</v>
      </c>
      <c r="AN42" s="439">
        <f t="shared" si="44"/>
        <v>502273404.59185624</v>
      </c>
      <c r="AO42" s="439">
        <f t="shared" si="44"/>
        <v>503244601.12634659</v>
      </c>
      <c r="AP42" s="439">
        <f t="shared" si="44"/>
        <v>504215797.66083676</v>
      </c>
      <c r="AQ42" s="439">
        <f t="shared" si="44"/>
        <v>505186994.19532567</v>
      </c>
      <c r="AR42" s="439">
        <f t="shared" si="44"/>
        <v>506158190.72981596</v>
      </c>
      <c r="AS42" s="439">
        <f t="shared" si="44"/>
        <v>507129387.26430625</v>
      </c>
      <c r="AT42" s="439">
        <f t="shared" si="44"/>
        <v>397254100.50479406</v>
      </c>
      <c r="AU42" s="440">
        <f t="shared" si="44"/>
        <v>483920683.09937733</v>
      </c>
      <c r="AV42" s="440">
        <f t="shared" si="44"/>
        <v>486492852.50090003</v>
      </c>
      <c r="AW42" s="440">
        <f t="shared" si="44"/>
        <v>470003230.81086928</v>
      </c>
      <c r="AX42" s="440">
        <f t="shared" si="44"/>
        <v>510457950.34473151</v>
      </c>
      <c r="AY42" s="440">
        <f t="shared" si="44"/>
        <v>553162168.22842276</v>
      </c>
      <c r="AZ42" s="440">
        <f t="shared" si="44"/>
        <v>565427599.63092494</v>
      </c>
      <c r="BA42" s="440">
        <f t="shared" si="44"/>
        <v>573239306.3241235</v>
      </c>
      <c r="BB42" s="440">
        <f t="shared" si="44"/>
        <v>564522945.84526408</v>
      </c>
      <c r="BC42" s="440">
        <f t="shared" si="44"/>
        <v>604665574.54017556</v>
      </c>
      <c r="BD42" s="440">
        <f t="shared" si="44"/>
        <v>572421107.51355517</v>
      </c>
      <c r="BE42" s="440">
        <f t="shared" si="44"/>
        <v>539028918.27821779</v>
      </c>
      <c r="BF42" s="440">
        <f t="shared" si="44"/>
        <v>533379218.89280331</v>
      </c>
      <c r="BG42" s="440">
        <f t="shared" si="44"/>
        <v>575250253.40292633</v>
      </c>
      <c r="BH42" s="440">
        <f t="shared" si="44"/>
        <v>517505070.30937654</v>
      </c>
      <c r="BI42" s="440">
        <f t="shared" si="44"/>
        <v>462028288.04331738</v>
      </c>
      <c r="BJ42" s="440">
        <f t="shared" si="44"/>
        <v>452326461.49762744</v>
      </c>
      <c r="BK42" s="440">
        <f t="shared" si="44"/>
        <v>478102151.58679408</v>
      </c>
      <c r="BL42" s="440">
        <f t="shared" si="44"/>
        <v>516531987.22804409</v>
      </c>
      <c r="BM42" s="440">
        <f t="shared" si="44"/>
        <v>477081672.95679414</v>
      </c>
      <c r="BN42" s="440">
        <f t="shared" si="44"/>
        <v>463412733.35696065</v>
      </c>
      <c r="BO42" s="440">
        <f t="shared" si="44"/>
        <v>545296724.03421068</v>
      </c>
      <c r="BP42" s="440">
        <f t="shared" si="44"/>
        <v>536313244.1419608</v>
      </c>
      <c r="BQ42" s="440">
        <f t="shared" si="44"/>
        <v>585625301.68612742</v>
      </c>
      <c r="BR42" s="440">
        <f t="shared" si="44"/>
        <v>507446624.24329406</v>
      </c>
      <c r="BS42" s="440">
        <f t="shared" ref="BS42:CL42" si="45">BS35*FB36+BS37*FB37+BS38*FB35+BS39*FB38+BS36*FB39+FB40*BS40+BS41*FB41</f>
        <v>488115950.56946075</v>
      </c>
      <c r="BT42" s="440">
        <f t="shared" si="45"/>
        <v>362489410.71162736</v>
      </c>
      <c r="BU42" s="440">
        <f t="shared" si="45"/>
        <v>435571461.97196072</v>
      </c>
      <c r="BV42" s="440">
        <f t="shared" si="45"/>
        <v>417692269.94046074</v>
      </c>
      <c r="BW42" s="440">
        <f t="shared" si="45"/>
        <v>316219858.75779402</v>
      </c>
      <c r="BX42" s="440">
        <f t="shared" si="45"/>
        <v>304150328.09362733</v>
      </c>
      <c r="BY42" s="440">
        <f t="shared" si="45"/>
        <v>347160133.70679402</v>
      </c>
      <c r="BZ42" s="440">
        <f t="shared" si="45"/>
        <v>399202612.36037743</v>
      </c>
      <c r="CA42" s="440">
        <f t="shared" si="45"/>
        <v>416833751.55804408</v>
      </c>
      <c r="CB42" s="440">
        <f t="shared" si="45"/>
        <v>454482913.72421074</v>
      </c>
      <c r="CC42" s="440">
        <f t="shared" si="45"/>
        <v>487440299.98029405</v>
      </c>
      <c r="CD42" s="440">
        <f t="shared" si="45"/>
        <v>553214450.02462733</v>
      </c>
      <c r="CE42" s="440">
        <f t="shared" si="45"/>
        <v>642408447.31871068</v>
      </c>
      <c r="CF42" s="440">
        <f t="shared" si="45"/>
        <v>575209700.68529415</v>
      </c>
      <c r="CG42" s="440">
        <f t="shared" si="45"/>
        <v>489513662.10529411</v>
      </c>
      <c r="CH42" s="440">
        <f t="shared" si="45"/>
        <v>485062579.28004408</v>
      </c>
      <c r="CI42" s="440">
        <f t="shared" si="45"/>
        <v>524684300.64087737</v>
      </c>
      <c r="CJ42" s="440">
        <f t="shared" si="45"/>
        <v>585379720.40979409</v>
      </c>
      <c r="CK42" s="440">
        <f t="shared" si="45"/>
        <v>667583905.9381274</v>
      </c>
      <c r="CL42" s="441">
        <f t="shared" si="45"/>
        <v>716866908.9507941</v>
      </c>
      <c r="CM42" s="442">
        <f t="shared" si="15"/>
        <v>496777617.45119029</v>
      </c>
      <c r="CN42" s="443" t="s">
        <v>180</v>
      </c>
      <c r="CO42" s="444">
        <f t="shared" ref="CO42:EB42" si="46">0.75*CO37</f>
        <v>27.734853846153825</v>
      </c>
      <c r="CP42" s="444">
        <f t="shared" si="46"/>
        <v>27.734853846153825</v>
      </c>
      <c r="CQ42" s="444">
        <f t="shared" si="46"/>
        <v>27.734853846153825</v>
      </c>
      <c r="CR42" s="444">
        <f t="shared" si="46"/>
        <v>27.734853846153825</v>
      </c>
      <c r="CS42" s="444">
        <f t="shared" si="46"/>
        <v>27.734853846153825</v>
      </c>
      <c r="CT42" s="444">
        <f t="shared" si="46"/>
        <v>27.734853846153825</v>
      </c>
      <c r="CU42" s="444">
        <f t="shared" si="46"/>
        <v>27.734853846153825</v>
      </c>
      <c r="CV42" s="444">
        <f t="shared" si="46"/>
        <v>27.734853846153825</v>
      </c>
      <c r="CW42" s="444">
        <f t="shared" si="46"/>
        <v>28.317217948717946</v>
      </c>
      <c r="CX42" s="444">
        <f t="shared" si="46"/>
        <v>27.734853846153825</v>
      </c>
      <c r="CY42" s="444">
        <f t="shared" si="46"/>
        <v>28.317217948717946</v>
      </c>
      <c r="CZ42" s="444">
        <f t="shared" si="46"/>
        <v>28.899582051282074</v>
      </c>
      <c r="DA42" s="444">
        <f t="shared" si="46"/>
        <v>29.481946153846124</v>
      </c>
      <c r="DB42" s="444">
        <f t="shared" si="46"/>
        <v>30.064310256410252</v>
      </c>
      <c r="DC42" s="444">
        <f t="shared" si="46"/>
        <v>30.646674358974373</v>
      </c>
      <c r="DD42" s="444">
        <f t="shared" si="46"/>
        <v>31.229038461538501</v>
      </c>
      <c r="DE42" s="444">
        <f t="shared" si="46"/>
        <v>31.811402564102551</v>
      </c>
      <c r="DF42" s="444">
        <f t="shared" si="46"/>
        <v>32.393766666666671</v>
      </c>
      <c r="DG42" s="444">
        <f t="shared" si="46"/>
        <v>32.976130769230799</v>
      </c>
      <c r="DH42" s="444">
        <f t="shared" si="46"/>
        <v>33.558494871794849</v>
      </c>
      <c r="DI42" s="444">
        <f t="shared" si="46"/>
        <v>34.140858974358977</v>
      </c>
      <c r="DJ42" s="444">
        <f t="shared" si="46"/>
        <v>34.723223076923098</v>
      </c>
      <c r="DK42" s="444">
        <f t="shared" si="46"/>
        <v>35.305587179487148</v>
      </c>
      <c r="DL42" s="444">
        <f t="shared" si="46"/>
        <v>35.887951282051276</v>
      </c>
      <c r="DM42" s="444">
        <f t="shared" si="46"/>
        <v>36.470315384615397</v>
      </c>
      <c r="DN42" s="444">
        <f t="shared" si="46"/>
        <v>37.052679487179525</v>
      </c>
      <c r="DO42" s="444">
        <f t="shared" si="46"/>
        <v>37.635043589743574</v>
      </c>
      <c r="DP42" s="444">
        <f t="shared" si="46"/>
        <v>38.217407692307702</v>
      </c>
      <c r="DQ42" s="444">
        <f t="shared" si="46"/>
        <v>38.799771794871823</v>
      </c>
      <c r="DR42" s="444">
        <f t="shared" si="46"/>
        <v>39.382135897435873</v>
      </c>
      <c r="DS42" s="444">
        <f t="shared" si="46"/>
        <v>39.964500000000001</v>
      </c>
      <c r="DT42" s="444">
        <f t="shared" si="46"/>
        <v>40.546864102564122</v>
      </c>
      <c r="DU42" s="444">
        <f t="shared" si="46"/>
        <v>41.129228205128179</v>
      </c>
      <c r="DV42" s="444">
        <f t="shared" si="46"/>
        <v>41.7115923076923</v>
      </c>
      <c r="DW42" s="444">
        <f t="shared" si="46"/>
        <v>42.293956410256428</v>
      </c>
      <c r="DX42" s="444">
        <f t="shared" si="46"/>
        <v>42.876320512820548</v>
      </c>
      <c r="DY42" s="444">
        <f t="shared" si="46"/>
        <v>43.458684615384598</v>
      </c>
      <c r="DZ42" s="444">
        <f t="shared" si="46"/>
        <v>44.041048717948726</v>
      </c>
      <c r="EA42" s="444">
        <f t="shared" si="46"/>
        <v>44.623412820512847</v>
      </c>
      <c r="EB42" s="444">
        <f t="shared" si="46"/>
        <v>45.205776923076904</v>
      </c>
      <c r="EC42" s="444">
        <f>0.75*EC37</f>
        <v>42.075000000000003</v>
      </c>
      <c r="ED42" s="444">
        <f t="shared" ref="ED42:FU42" si="47">0.75*ED37</f>
        <v>43.2</v>
      </c>
      <c r="EE42" s="444">
        <f t="shared" si="47"/>
        <v>41.775000000000006</v>
      </c>
      <c r="EF42" s="444">
        <f t="shared" si="47"/>
        <v>44.962500000000006</v>
      </c>
      <c r="EG42" s="444">
        <f t="shared" si="47"/>
        <v>51.427499999999995</v>
      </c>
      <c r="EH42" s="444">
        <f t="shared" si="47"/>
        <v>59.775000000000006</v>
      </c>
      <c r="EI42" s="444">
        <f t="shared" si="47"/>
        <v>63.757500000000007</v>
      </c>
      <c r="EJ42" s="444">
        <f t="shared" si="47"/>
        <v>55.064999999999998</v>
      </c>
      <c r="EK42" s="444">
        <f t="shared" si="47"/>
        <v>51.1875</v>
      </c>
      <c r="EL42" s="444">
        <f t="shared" si="47"/>
        <v>39.9375</v>
      </c>
      <c r="EM42" s="444">
        <f t="shared" si="47"/>
        <v>49.094999999999999</v>
      </c>
      <c r="EN42" s="444">
        <f t="shared" si="47"/>
        <v>45.697499999999998</v>
      </c>
      <c r="EO42" s="444">
        <f t="shared" si="47"/>
        <v>44.775000000000006</v>
      </c>
      <c r="EP42" s="444">
        <f t="shared" si="47"/>
        <v>44.204999999999998</v>
      </c>
      <c r="EQ42" s="444">
        <f t="shared" si="47"/>
        <v>43.462500000000006</v>
      </c>
      <c r="ER42" s="444">
        <f t="shared" si="47"/>
        <v>58.86</v>
      </c>
      <c r="ES42" s="444">
        <f t="shared" si="47"/>
        <v>61.882500000000007</v>
      </c>
      <c r="ET42" s="444">
        <f t="shared" si="47"/>
        <v>62.699999999999996</v>
      </c>
      <c r="EU42" s="444">
        <f t="shared" si="47"/>
        <v>76.612500000000011</v>
      </c>
      <c r="EV42" s="444">
        <f t="shared" si="47"/>
        <v>55.935000000000002</v>
      </c>
      <c r="EW42" s="444">
        <f t="shared" si="47"/>
        <v>58.837500000000006</v>
      </c>
      <c r="EX42" s="444">
        <f t="shared" si="47"/>
        <v>57.652500000000003</v>
      </c>
      <c r="EY42" s="444">
        <f t="shared" si="47"/>
        <v>61.792500000000004</v>
      </c>
      <c r="EZ42" s="444">
        <f t="shared" si="47"/>
        <v>58.41</v>
      </c>
      <c r="FA42" s="444">
        <f t="shared" si="47"/>
        <v>56.542500000000004</v>
      </c>
      <c r="FB42" s="444">
        <f t="shared" si="47"/>
        <v>50.137499999999996</v>
      </c>
      <c r="FC42" s="444">
        <f t="shared" si="47"/>
        <v>48.435000000000002</v>
      </c>
      <c r="FD42" s="444">
        <f t="shared" si="47"/>
        <v>63.727499999999999</v>
      </c>
      <c r="FE42" s="444">
        <f t="shared" si="47"/>
        <v>58.552499999999995</v>
      </c>
      <c r="FF42" s="444">
        <f t="shared" si="47"/>
        <v>53.377499999999998</v>
      </c>
      <c r="FG42" s="444">
        <f t="shared" si="47"/>
        <v>51.172499999999999</v>
      </c>
      <c r="FH42" s="444">
        <f t="shared" si="47"/>
        <v>51.900000000000006</v>
      </c>
      <c r="FI42" s="444">
        <f t="shared" si="47"/>
        <v>53.37</v>
      </c>
      <c r="FJ42" s="444">
        <f t="shared" si="47"/>
        <v>62.175000000000004</v>
      </c>
      <c r="FK42" s="444">
        <f t="shared" si="47"/>
        <v>66.66</v>
      </c>
      <c r="FL42" s="444">
        <f t="shared" si="47"/>
        <v>60.105000000000004</v>
      </c>
      <c r="FM42" s="444">
        <f t="shared" si="47"/>
        <v>67.072500000000005</v>
      </c>
      <c r="FN42" s="444">
        <f t="shared" si="47"/>
        <v>77.085000000000008</v>
      </c>
      <c r="FO42" s="444">
        <f t="shared" si="47"/>
        <v>76.6875</v>
      </c>
      <c r="FP42" s="444">
        <f t="shared" si="47"/>
        <v>75.239999999999995</v>
      </c>
      <c r="FQ42" s="444">
        <f t="shared" si="47"/>
        <v>61.005000000000003</v>
      </c>
      <c r="FR42" s="444">
        <f t="shared" si="47"/>
        <v>68.002499999999998</v>
      </c>
      <c r="FS42" s="444">
        <f t="shared" si="47"/>
        <v>68.894999999999996</v>
      </c>
      <c r="FT42" s="444">
        <f t="shared" si="47"/>
        <v>71.992499999999993</v>
      </c>
      <c r="FU42" s="444">
        <f t="shared" si="47"/>
        <v>71.212500000000006</v>
      </c>
      <c r="FV42" s="445">
        <f t="shared" si="31"/>
        <v>57.476166666666664</v>
      </c>
      <c r="FW42" s="312"/>
    </row>
    <row r="43" spans="1:179">
      <c r="A43" s="1049" t="s">
        <v>325</v>
      </c>
      <c r="B43" s="286" t="s">
        <v>305</v>
      </c>
      <c r="C43" s="356" t="s">
        <v>323</v>
      </c>
      <c r="D43" s="356"/>
      <c r="E43" s="158">
        <v>58.016529232000003</v>
      </c>
      <c r="F43" s="446" t="s">
        <v>326</v>
      </c>
      <c r="G43" s="447">
        <f t="shared" ref="G43:AS43" si="48">$E$43*G17</f>
        <v>5310784.7387895873</v>
      </c>
      <c r="H43" s="447">
        <f t="shared" si="48"/>
        <v>5310784.7387895873</v>
      </c>
      <c r="I43" s="447">
        <f t="shared" si="48"/>
        <v>5310784.7387895873</v>
      </c>
      <c r="J43" s="447">
        <f t="shared" si="48"/>
        <v>5310784.7387895873</v>
      </c>
      <c r="K43" s="447">
        <f t="shared" si="48"/>
        <v>5310784.7387895873</v>
      </c>
      <c r="L43" s="447">
        <f t="shared" si="48"/>
        <v>5310784.7387895873</v>
      </c>
      <c r="M43" s="447">
        <f t="shared" si="48"/>
        <v>5310784.7387895873</v>
      </c>
      <c r="N43" s="447">
        <f t="shared" si="48"/>
        <v>5310784.7387895873</v>
      </c>
      <c r="O43" s="447">
        <f t="shared" si="48"/>
        <v>5310784.7387895873</v>
      </c>
      <c r="P43" s="447">
        <f t="shared" si="48"/>
        <v>5310784.7387895873</v>
      </c>
      <c r="Q43" s="447">
        <f t="shared" si="48"/>
        <v>5310784.7387895873</v>
      </c>
      <c r="R43" s="447">
        <f t="shared" si="48"/>
        <v>5310784.7387895873</v>
      </c>
      <c r="S43" s="447">
        <f t="shared" si="48"/>
        <v>5310784.7387895873</v>
      </c>
      <c r="T43" s="447">
        <f t="shared" si="48"/>
        <v>5310784.7387895873</v>
      </c>
      <c r="U43" s="447">
        <f t="shared" si="48"/>
        <v>5310784.7387895873</v>
      </c>
      <c r="V43" s="447">
        <f t="shared" si="48"/>
        <v>5310784.7387895873</v>
      </c>
      <c r="W43" s="447">
        <f t="shared" si="48"/>
        <v>5310784.7387895873</v>
      </c>
      <c r="X43" s="447">
        <f t="shared" si="48"/>
        <v>5310784.7387895873</v>
      </c>
      <c r="Y43" s="447">
        <f t="shared" si="48"/>
        <v>5310784.7387895873</v>
      </c>
      <c r="Z43" s="447">
        <f t="shared" si="48"/>
        <v>5310784.7387895873</v>
      </c>
      <c r="AA43" s="447">
        <f t="shared" si="48"/>
        <v>5310784.7387895873</v>
      </c>
      <c r="AB43" s="447">
        <f t="shared" si="48"/>
        <v>5310784.7387895873</v>
      </c>
      <c r="AC43" s="447">
        <f t="shared" si="48"/>
        <v>5310784.7387895873</v>
      </c>
      <c r="AD43" s="447">
        <f t="shared" si="48"/>
        <v>5310784.7387895873</v>
      </c>
      <c r="AE43" s="447">
        <f t="shared" si="48"/>
        <v>5310784.7387895873</v>
      </c>
      <c r="AF43" s="447">
        <f t="shared" si="48"/>
        <v>5310784.7387895873</v>
      </c>
      <c r="AG43" s="447">
        <f t="shared" si="48"/>
        <v>5310784.7387895873</v>
      </c>
      <c r="AH43" s="447">
        <f t="shared" si="48"/>
        <v>5310784.7387895873</v>
      </c>
      <c r="AI43" s="447">
        <f t="shared" si="48"/>
        <v>5310784.7387895873</v>
      </c>
      <c r="AJ43" s="447">
        <f t="shared" si="48"/>
        <v>5310784.7387895873</v>
      </c>
      <c r="AK43" s="447">
        <f t="shared" si="48"/>
        <v>5310784.7387895873</v>
      </c>
      <c r="AL43" s="447">
        <f t="shared" si="48"/>
        <v>5310784.7387895873</v>
      </c>
      <c r="AM43" s="447">
        <f t="shared" si="48"/>
        <v>5310784.7387895873</v>
      </c>
      <c r="AN43" s="447">
        <f t="shared" si="48"/>
        <v>5310784.7387895873</v>
      </c>
      <c r="AO43" s="447">
        <f t="shared" si="48"/>
        <v>5310784.7387895873</v>
      </c>
      <c r="AP43" s="447">
        <f t="shared" si="48"/>
        <v>5310784.7387895873</v>
      </c>
      <c r="AQ43" s="447">
        <f t="shared" si="48"/>
        <v>5310784.7387895873</v>
      </c>
      <c r="AR43" s="447">
        <f t="shared" si="48"/>
        <v>5310784.7387895873</v>
      </c>
      <c r="AS43" s="447">
        <f t="shared" si="48"/>
        <v>5310784.7387895873</v>
      </c>
      <c r="AT43" s="447">
        <f>$E$43*AT17</f>
        <v>5310784.7387895873</v>
      </c>
      <c r="AU43" s="448">
        <f t="shared" ref="AU43:CL43" si="49">$E$43*AU17</f>
        <v>5310784.7387895873</v>
      </c>
      <c r="AV43" s="448">
        <f t="shared" si="49"/>
        <v>5310784.7387895873</v>
      </c>
      <c r="AW43" s="448">
        <f t="shared" si="49"/>
        <v>5310784.7387895873</v>
      </c>
      <c r="AX43" s="448">
        <f t="shared" si="49"/>
        <v>5310784.7387895873</v>
      </c>
      <c r="AY43" s="448">
        <f t="shared" si="49"/>
        <v>5310784.7387895873</v>
      </c>
      <c r="AZ43" s="448">
        <f t="shared" si="49"/>
        <v>5310784.7387895873</v>
      </c>
      <c r="BA43" s="448">
        <f t="shared" si="49"/>
        <v>5310784.7387895873</v>
      </c>
      <c r="BB43" s="448">
        <f t="shared" si="49"/>
        <v>5310784.7387895873</v>
      </c>
      <c r="BC43" s="448">
        <f t="shared" si="49"/>
        <v>5310784.7387895873</v>
      </c>
      <c r="BD43" s="448">
        <f t="shared" si="49"/>
        <v>5310784.7387895873</v>
      </c>
      <c r="BE43" s="448">
        <f t="shared" si="49"/>
        <v>5310784.7387895873</v>
      </c>
      <c r="BF43" s="448">
        <f t="shared" si="49"/>
        <v>5310784.7387895873</v>
      </c>
      <c r="BG43" s="448">
        <f t="shared" si="49"/>
        <v>5310784.7387895873</v>
      </c>
      <c r="BH43" s="448">
        <f t="shared" si="49"/>
        <v>5310784.7387895873</v>
      </c>
      <c r="BI43" s="448">
        <f t="shared" si="49"/>
        <v>5310784.7387895873</v>
      </c>
      <c r="BJ43" s="448">
        <f t="shared" si="49"/>
        <v>5310784.7387895873</v>
      </c>
      <c r="BK43" s="448">
        <f t="shared" si="49"/>
        <v>5310784.7387895873</v>
      </c>
      <c r="BL43" s="448">
        <f t="shared" si="49"/>
        <v>5310784.7387895873</v>
      </c>
      <c r="BM43" s="448">
        <f t="shared" si="49"/>
        <v>5310784.7387895873</v>
      </c>
      <c r="BN43" s="448">
        <f t="shared" si="49"/>
        <v>5310784.7387895873</v>
      </c>
      <c r="BO43" s="448">
        <f t="shared" si="49"/>
        <v>5310784.7387895873</v>
      </c>
      <c r="BP43" s="448">
        <f t="shared" si="49"/>
        <v>5310784.7387895873</v>
      </c>
      <c r="BQ43" s="448">
        <f t="shared" si="49"/>
        <v>5310784.7387895873</v>
      </c>
      <c r="BR43" s="448">
        <f t="shared" si="49"/>
        <v>5310784.7387895873</v>
      </c>
      <c r="BS43" s="448">
        <f t="shared" si="49"/>
        <v>5310784.7387895873</v>
      </c>
      <c r="BT43" s="448">
        <f t="shared" si="49"/>
        <v>5310784.7387895873</v>
      </c>
      <c r="BU43" s="448">
        <f t="shared" si="49"/>
        <v>5310784.7387895873</v>
      </c>
      <c r="BV43" s="448">
        <f t="shared" si="49"/>
        <v>5310784.7387895873</v>
      </c>
      <c r="BW43" s="448">
        <f t="shared" si="49"/>
        <v>5310784.7387895873</v>
      </c>
      <c r="BX43" s="448">
        <f t="shared" si="49"/>
        <v>5310784.7387895873</v>
      </c>
      <c r="BY43" s="448">
        <f t="shared" si="49"/>
        <v>5310784.7387895873</v>
      </c>
      <c r="BZ43" s="448">
        <f t="shared" si="49"/>
        <v>5310784.7387895873</v>
      </c>
      <c r="CA43" s="448">
        <f t="shared" si="49"/>
        <v>5310784.7387895873</v>
      </c>
      <c r="CB43" s="448">
        <f t="shared" si="49"/>
        <v>5310784.7387895873</v>
      </c>
      <c r="CC43" s="448">
        <f t="shared" si="49"/>
        <v>5310784.7387895873</v>
      </c>
      <c r="CD43" s="448">
        <f t="shared" si="49"/>
        <v>5310784.7387895873</v>
      </c>
      <c r="CE43" s="448">
        <f t="shared" si="49"/>
        <v>5310784.7387895873</v>
      </c>
      <c r="CF43" s="448">
        <f t="shared" si="49"/>
        <v>5310784.7387895873</v>
      </c>
      <c r="CG43" s="448">
        <f t="shared" si="49"/>
        <v>5310784.7387895873</v>
      </c>
      <c r="CH43" s="448">
        <f t="shared" si="49"/>
        <v>5310784.7387895873</v>
      </c>
      <c r="CI43" s="448">
        <f t="shared" si="49"/>
        <v>5310784.7387895873</v>
      </c>
      <c r="CJ43" s="448">
        <f t="shared" si="49"/>
        <v>5310784.7387895873</v>
      </c>
      <c r="CK43" s="448">
        <f t="shared" si="49"/>
        <v>5310784.7387895873</v>
      </c>
      <c r="CL43" s="448">
        <f t="shared" si="49"/>
        <v>5310784.7387895873</v>
      </c>
      <c r="CM43" s="319">
        <f t="shared" si="15"/>
        <v>5310784.7387895761</v>
      </c>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c r="FW43" s="313"/>
    </row>
    <row r="44" spans="1:179">
      <c r="A44" s="1050"/>
      <c r="B44" s="224" t="s">
        <v>305</v>
      </c>
      <c r="C44" s="367" t="s">
        <v>323</v>
      </c>
      <c r="D44" s="362"/>
      <c r="E44" s="75">
        <v>113.95</v>
      </c>
      <c r="F44" s="413" t="s">
        <v>327</v>
      </c>
      <c r="G44" s="449">
        <f t="shared" ref="G44:AS44" si="50">$E$44*G17</f>
        <v>10430888.041666668</v>
      </c>
      <c r="H44" s="449">
        <f t="shared" si="50"/>
        <v>10430888.041666668</v>
      </c>
      <c r="I44" s="449">
        <f t="shared" si="50"/>
        <v>10430888.041666668</v>
      </c>
      <c r="J44" s="449">
        <f t="shared" si="50"/>
        <v>10430888.041666668</v>
      </c>
      <c r="K44" s="449">
        <f t="shared" si="50"/>
        <v>10430888.041666668</v>
      </c>
      <c r="L44" s="449">
        <f t="shared" si="50"/>
        <v>10430888.041666668</v>
      </c>
      <c r="M44" s="449">
        <f t="shared" si="50"/>
        <v>10430888.041666668</v>
      </c>
      <c r="N44" s="449">
        <f t="shared" si="50"/>
        <v>10430888.041666668</v>
      </c>
      <c r="O44" s="449">
        <f t="shared" si="50"/>
        <v>10430888.041666668</v>
      </c>
      <c r="P44" s="449">
        <f t="shared" si="50"/>
        <v>10430888.041666668</v>
      </c>
      <c r="Q44" s="449">
        <f t="shared" si="50"/>
        <v>10430888.041666668</v>
      </c>
      <c r="R44" s="449">
        <f t="shared" si="50"/>
        <v>10430888.041666668</v>
      </c>
      <c r="S44" s="449">
        <f t="shared" si="50"/>
        <v>10430888.041666668</v>
      </c>
      <c r="T44" s="449">
        <f t="shared" si="50"/>
        <v>10430888.041666668</v>
      </c>
      <c r="U44" s="449">
        <f t="shared" si="50"/>
        <v>10430888.041666668</v>
      </c>
      <c r="V44" s="449">
        <f t="shared" si="50"/>
        <v>10430888.041666668</v>
      </c>
      <c r="W44" s="449">
        <f t="shared" si="50"/>
        <v>10430888.041666668</v>
      </c>
      <c r="X44" s="449">
        <f t="shared" si="50"/>
        <v>10430888.041666668</v>
      </c>
      <c r="Y44" s="449">
        <f t="shared" si="50"/>
        <v>10430888.041666668</v>
      </c>
      <c r="Z44" s="449">
        <f t="shared" si="50"/>
        <v>10430888.041666668</v>
      </c>
      <c r="AA44" s="449">
        <f t="shared" si="50"/>
        <v>10430888.041666668</v>
      </c>
      <c r="AB44" s="449">
        <f t="shared" si="50"/>
        <v>10430888.041666668</v>
      </c>
      <c r="AC44" s="449">
        <f t="shared" si="50"/>
        <v>10430888.041666668</v>
      </c>
      <c r="AD44" s="449">
        <f t="shared" si="50"/>
        <v>10430888.041666668</v>
      </c>
      <c r="AE44" s="449">
        <f t="shared" si="50"/>
        <v>10430888.041666668</v>
      </c>
      <c r="AF44" s="449">
        <f t="shared" si="50"/>
        <v>10430888.041666668</v>
      </c>
      <c r="AG44" s="449">
        <f t="shared" si="50"/>
        <v>10430888.041666668</v>
      </c>
      <c r="AH44" s="449">
        <f t="shared" si="50"/>
        <v>10430888.041666668</v>
      </c>
      <c r="AI44" s="449">
        <f t="shared" si="50"/>
        <v>10430888.041666668</v>
      </c>
      <c r="AJ44" s="449">
        <f t="shared" si="50"/>
        <v>10430888.041666668</v>
      </c>
      <c r="AK44" s="449">
        <f t="shared" si="50"/>
        <v>10430888.041666668</v>
      </c>
      <c r="AL44" s="449">
        <f t="shared" si="50"/>
        <v>10430888.041666668</v>
      </c>
      <c r="AM44" s="449">
        <f t="shared" si="50"/>
        <v>10430888.041666668</v>
      </c>
      <c r="AN44" s="449">
        <f t="shared" si="50"/>
        <v>10430888.041666668</v>
      </c>
      <c r="AO44" s="449">
        <f t="shared" si="50"/>
        <v>10430888.041666668</v>
      </c>
      <c r="AP44" s="449">
        <f t="shared" si="50"/>
        <v>10430888.041666668</v>
      </c>
      <c r="AQ44" s="449">
        <f t="shared" si="50"/>
        <v>10430888.041666668</v>
      </c>
      <c r="AR44" s="449">
        <f t="shared" si="50"/>
        <v>10430888.041666668</v>
      </c>
      <c r="AS44" s="449">
        <f t="shared" si="50"/>
        <v>10430888.041666668</v>
      </c>
      <c r="AT44" s="449">
        <f>$E$44*AT17</f>
        <v>10430888.041666668</v>
      </c>
      <c r="AU44" s="450">
        <f t="shared" ref="AU44:CL44" si="51">$E$44*AU17</f>
        <v>10430888.041666668</v>
      </c>
      <c r="AV44" s="450">
        <f t="shared" si="51"/>
        <v>10430888.041666668</v>
      </c>
      <c r="AW44" s="450">
        <f t="shared" si="51"/>
        <v>10430888.041666668</v>
      </c>
      <c r="AX44" s="450">
        <f t="shared" si="51"/>
        <v>10430888.041666668</v>
      </c>
      <c r="AY44" s="450">
        <f t="shared" si="51"/>
        <v>10430888.041666668</v>
      </c>
      <c r="AZ44" s="450">
        <f t="shared" si="51"/>
        <v>10430888.041666668</v>
      </c>
      <c r="BA44" s="450">
        <f t="shared" si="51"/>
        <v>10430888.041666668</v>
      </c>
      <c r="BB44" s="450">
        <f t="shared" si="51"/>
        <v>10430888.041666668</v>
      </c>
      <c r="BC44" s="450">
        <f t="shared" si="51"/>
        <v>10430888.041666668</v>
      </c>
      <c r="BD44" s="450">
        <f t="shared" si="51"/>
        <v>10430888.041666668</v>
      </c>
      <c r="BE44" s="450">
        <f t="shared" si="51"/>
        <v>10430888.041666668</v>
      </c>
      <c r="BF44" s="450">
        <f t="shared" si="51"/>
        <v>10430888.041666668</v>
      </c>
      <c r="BG44" s="450">
        <f t="shared" si="51"/>
        <v>10430888.041666668</v>
      </c>
      <c r="BH44" s="450">
        <f t="shared" si="51"/>
        <v>10430888.041666668</v>
      </c>
      <c r="BI44" s="450">
        <f t="shared" si="51"/>
        <v>10430888.041666668</v>
      </c>
      <c r="BJ44" s="450">
        <f t="shared" si="51"/>
        <v>10430888.041666668</v>
      </c>
      <c r="BK44" s="450">
        <f t="shared" si="51"/>
        <v>10430888.041666668</v>
      </c>
      <c r="BL44" s="450">
        <f t="shared" si="51"/>
        <v>10430888.041666668</v>
      </c>
      <c r="BM44" s="450">
        <f t="shared" si="51"/>
        <v>10430888.041666668</v>
      </c>
      <c r="BN44" s="450">
        <f t="shared" si="51"/>
        <v>10430888.041666668</v>
      </c>
      <c r="BO44" s="450">
        <f t="shared" si="51"/>
        <v>10430888.041666668</v>
      </c>
      <c r="BP44" s="450">
        <f t="shared" si="51"/>
        <v>10430888.041666668</v>
      </c>
      <c r="BQ44" s="450">
        <f t="shared" si="51"/>
        <v>10430888.041666668</v>
      </c>
      <c r="BR44" s="450">
        <f t="shared" si="51"/>
        <v>10430888.041666668</v>
      </c>
      <c r="BS44" s="450">
        <f t="shared" si="51"/>
        <v>10430888.041666668</v>
      </c>
      <c r="BT44" s="450">
        <f t="shared" si="51"/>
        <v>10430888.041666668</v>
      </c>
      <c r="BU44" s="450">
        <f t="shared" si="51"/>
        <v>10430888.041666668</v>
      </c>
      <c r="BV44" s="450">
        <f t="shared" si="51"/>
        <v>10430888.041666668</v>
      </c>
      <c r="BW44" s="450">
        <f t="shared" si="51"/>
        <v>10430888.041666668</v>
      </c>
      <c r="BX44" s="450">
        <f t="shared" si="51"/>
        <v>10430888.041666668</v>
      </c>
      <c r="BY44" s="450">
        <f t="shared" si="51"/>
        <v>10430888.041666668</v>
      </c>
      <c r="BZ44" s="450">
        <f t="shared" si="51"/>
        <v>10430888.041666668</v>
      </c>
      <c r="CA44" s="450">
        <f t="shared" si="51"/>
        <v>10430888.041666668</v>
      </c>
      <c r="CB44" s="450">
        <f t="shared" si="51"/>
        <v>10430888.041666668</v>
      </c>
      <c r="CC44" s="450">
        <f t="shared" si="51"/>
        <v>10430888.041666668</v>
      </c>
      <c r="CD44" s="450">
        <f t="shared" si="51"/>
        <v>10430888.041666668</v>
      </c>
      <c r="CE44" s="450">
        <f t="shared" si="51"/>
        <v>10430888.041666668</v>
      </c>
      <c r="CF44" s="450">
        <f t="shared" si="51"/>
        <v>10430888.041666668</v>
      </c>
      <c r="CG44" s="450">
        <f t="shared" si="51"/>
        <v>10430888.041666668</v>
      </c>
      <c r="CH44" s="450">
        <f t="shared" si="51"/>
        <v>10430888.041666668</v>
      </c>
      <c r="CI44" s="450">
        <f t="shared" si="51"/>
        <v>10430888.041666668</v>
      </c>
      <c r="CJ44" s="450">
        <f t="shared" si="51"/>
        <v>10430888.041666668</v>
      </c>
      <c r="CK44" s="450">
        <f t="shared" si="51"/>
        <v>10430888.041666668</v>
      </c>
      <c r="CL44" s="450">
        <f t="shared" si="51"/>
        <v>10430888.041666668</v>
      </c>
      <c r="CM44" s="319">
        <f t="shared" si="15"/>
        <v>10430888.041666657</v>
      </c>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row>
    <row r="45" spans="1:179" ht="17.25" customHeight="1">
      <c r="A45" s="451" t="s">
        <v>31</v>
      </c>
      <c r="B45" s="452" t="s">
        <v>305</v>
      </c>
      <c r="C45" s="451" t="s">
        <v>323</v>
      </c>
      <c r="D45" s="451"/>
      <c r="E45" s="453">
        <v>7924</v>
      </c>
      <c r="F45" s="454" t="s">
        <v>328</v>
      </c>
      <c r="G45" s="455">
        <f t="shared" ref="G45:AS45" si="52">7924*G17</f>
        <v>725356356.66666675</v>
      </c>
      <c r="H45" s="455">
        <f t="shared" si="52"/>
        <v>725356356.66666675</v>
      </c>
      <c r="I45" s="455">
        <f t="shared" si="52"/>
        <v>725356356.66666675</v>
      </c>
      <c r="J45" s="455">
        <f t="shared" si="52"/>
        <v>725356356.66666675</v>
      </c>
      <c r="K45" s="455">
        <f t="shared" si="52"/>
        <v>725356356.66666675</v>
      </c>
      <c r="L45" s="455">
        <f t="shared" si="52"/>
        <v>725356356.66666675</v>
      </c>
      <c r="M45" s="455">
        <f t="shared" si="52"/>
        <v>725356356.66666675</v>
      </c>
      <c r="N45" s="455">
        <f t="shared" si="52"/>
        <v>725356356.66666675</v>
      </c>
      <c r="O45" s="455">
        <f t="shared" si="52"/>
        <v>725356356.66666675</v>
      </c>
      <c r="P45" s="455">
        <f t="shared" si="52"/>
        <v>725356356.66666675</v>
      </c>
      <c r="Q45" s="455">
        <f t="shared" si="52"/>
        <v>725356356.66666675</v>
      </c>
      <c r="R45" s="455">
        <f t="shared" si="52"/>
        <v>725356356.66666675</v>
      </c>
      <c r="S45" s="455">
        <f t="shared" si="52"/>
        <v>725356356.66666675</v>
      </c>
      <c r="T45" s="455">
        <f t="shared" si="52"/>
        <v>725356356.66666675</v>
      </c>
      <c r="U45" s="455">
        <f t="shared" si="52"/>
        <v>725356356.66666675</v>
      </c>
      <c r="V45" s="455">
        <f t="shared" si="52"/>
        <v>725356356.66666675</v>
      </c>
      <c r="W45" s="455">
        <f t="shared" si="52"/>
        <v>725356356.66666675</v>
      </c>
      <c r="X45" s="455">
        <f t="shared" si="52"/>
        <v>725356356.66666675</v>
      </c>
      <c r="Y45" s="455">
        <f t="shared" si="52"/>
        <v>725356356.66666675</v>
      </c>
      <c r="Z45" s="455">
        <f t="shared" si="52"/>
        <v>725356356.66666675</v>
      </c>
      <c r="AA45" s="455">
        <f t="shared" si="52"/>
        <v>725356356.66666675</v>
      </c>
      <c r="AB45" s="455">
        <f t="shared" si="52"/>
        <v>725356356.66666675</v>
      </c>
      <c r="AC45" s="455">
        <f t="shared" si="52"/>
        <v>725356356.66666675</v>
      </c>
      <c r="AD45" s="455">
        <f t="shared" si="52"/>
        <v>725356356.66666675</v>
      </c>
      <c r="AE45" s="455">
        <f t="shared" si="52"/>
        <v>725356356.66666675</v>
      </c>
      <c r="AF45" s="455">
        <f t="shared" si="52"/>
        <v>725356356.66666675</v>
      </c>
      <c r="AG45" s="455">
        <f t="shared" si="52"/>
        <v>725356356.66666675</v>
      </c>
      <c r="AH45" s="455">
        <f t="shared" si="52"/>
        <v>725356356.66666675</v>
      </c>
      <c r="AI45" s="455">
        <f t="shared" si="52"/>
        <v>725356356.66666675</v>
      </c>
      <c r="AJ45" s="455">
        <f t="shared" si="52"/>
        <v>725356356.66666675</v>
      </c>
      <c r="AK45" s="455">
        <f t="shared" si="52"/>
        <v>725356356.66666675</v>
      </c>
      <c r="AL45" s="455">
        <f t="shared" si="52"/>
        <v>725356356.66666675</v>
      </c>
      <c r="AM45" s="455">
        <f t="shared" si="52"/>
        <v>725356356.66666675</v>
      </c>
      <c r="AN45" s="455">
        <f t="shared" si="52"/>
        <v>725356356.66666675</v>
      </c>
      <c r="AO45" s="455">
        <f t="shared" si="52"/>
        <v>725356356.66666675</v>
      </c>
      <c r="AP45" s="455">
        <f t="shared" si="52"/>
        <v>725356356.66666675</v>
      </c>
      <c r="AQ45" s="455">
        <f t="shared" si="52"/>
        <v>725356356.66666675</v>
      </c>
      <c r="AR45" s="455">
        <f t="shared" si="52"/>
        <v>725356356.66666675</v>
      </c>
      <c r="AS45" s="455">
        <f t="shared" si="52"/>
        <v>725356356.66666675</v>
      </c>
      <c r="AT45" s="455">
        <f>7924*AT17</f>
        <v>725356356.66666675</v>
      </c>
      <c r="AU45" s="456">
        <f t="shared" ref="AU45:CL45" si="53">7924*AU17</f>
        <v>725356356.66666675</v>
      </c>
      <c r="AV45" s="456">
        <f t="shared" si="53"/>
        <v>725356356.66666675</v>
      </c>
      <c r="AW45" s="456">
        <f t="shared" si="53"/>
        <v>725356356.66666675</v>
      </c>
      <c r="AX45" s="456">
        <f t="shared" si="53"/>
        <v>725356356.66666675</v>
      </c>
      <c r="AY45" s="456">
        <f t="shared" si="53"/>
        <v>725356356.66666675</v>
      </c>
      <c r="AZ45" s="456">
        <f t="shared" si="53"/>
        <v>725356356.66666675</v>
      </c>
      <c r="BA45" s="456">
        <f t="shared" si="53"/>
        <v>725356356.66666675</v>
      </c>
      <c r="BB45" s="456">
        <f t="shared" si="53"/>
        <v>725356356.66666675</v>
      </c>
      <c r="BC45" s="456">
        <f t="shared" si="53"/>
        <v>725356356.66666675</v>
      </c>
      <c r="BD45" s="456">
        <f t="shared" si="53"/>
        <v>725356356.66666675</v>
      </c>
      <c r="BE45" s="456">
        <f t="shared" si="53"/>
        <v>725356356.66666675</v>
      </c>
      <c r="BF45" s="456">
        <f t="shared" si="53"/>
        <v>725356356.66666675</v>
      </c>
      <c r="BG45" s="456">
        <f t="shared" si="53"/>
        <v>725356356.66666675</v>
      </c>
      <c r="BH45" s="456">
        <f t="shared" si="53"/>
        <v>725356356.66666675</v>
      </c>
      <c r="BI45" s="456">
        <f t="shared" si="53"/>
        <v>725356356.66666675</v>
      </c>
      <c r="BJ45" s="456">
        <f t="shared" si="53"/>
        <v>725356356.66666675</v>
      </c>
      <c r="BK45" s="456">
        <f t="shared" si="53"/>
        <v>725356356.66666675</v>
      </c>
      <c r="BL45" s="456">
        <f t="shared" si="53"/>
        <v>725356356.66666675</v>
      </c>
      <c r="BM45" s="456">
        <f t="shared" si="53"/>
        <v>725356356.66666675</v>
      </c>
      <c r="BN45" s="456">
        <f t="shared" si="53"/>
        <v>725356356.66666675</v>
      </c>
      <c r="BO45" s="456">
        <f t="shared" si="53"/>
        <v>725356356.66666675</v>
      </c>
      <c r="BP45" s="456">
        <f t="shared" si="53"/>
        <v>725356356.66666675</v>
      </c>
      <c r="BQ45" s="456">
        <f t="shared" si="53"/>
        <v>725356356.66666675</v>
      </c>
      <c r="BR45" s="456">
        <f t="shared" si="53"/>
        <v>725356356.66666675</v>
      </c>
      <c r="BS45" s="456">
        <f t="shared" si="53"/>
        <v>725356356.66666675</v>
      </c>
      <c r="BT45" s="456">
        <f t="shared" si="53"/>
        <v>725356356.66666675</v>
      </c>
      <c r="BU45" s="456">
        <f t="shared" si="53"/>
        <v>725356356.66666675</v>
      </c>
      <c r="BV45" s="456">
        <f t="shared" si="53"/>
        <v>725356356.66666675</v>
      </c>
      <c r="BW45" s="456">
        <f t="shared" si="53"/>
        <v>725356356.66666675</v>
      </c>
      <c r="BX45" s="456">
        <f t="shared" si="53"/>
        <v>725356356.66666675</v>
      </c>
      <c r="BY45" s="456">
        <f t="shared" si="53"/>
        <v>725356356.66666675</v>
      </c>
      <c r="BZ45" s="456">
        <f t="shared" si="53"/>
        <v>725356356.66666675</v>
      </c>
      <c r="CA45" s="456">
        <f t="shared" si="53"/>
        <v>725356356.66666675</v>
      </c>
      <c r="CB45" s="456">
        <f t="shared" si="53"/>
        <v>725356356.66666675</v>
      </c>
      <c r="CC45" s="456">
        <f t="shared" si="53"/>
        <v>725356356.66666675</v>
      </c>
      <c r="CD45" s="456">
        <f t="shared" si="53"/>
        <v>725356356.66666675</v>
      </c>
      <c r="CE45" s="456">
        <f t="shared" si="53"/>
        <v>725356356.66666675</v>
      </c>
      <c r="CF45" s="456">
        <f t="shared" si="53"/>
        <v>725356356.66666675</v>
      </c>
      <c r="CG45" s="456">
        <f t="shared" si="53"/>
        <v>725356356.66666675</v>
      </c>
      <c r="CH45" s="456">
        <f t="shared" si="53"/>
        <v>725356356.66666675</v>
      </c>
      <c r="CI45" s="456">
        <f t="shared" si="53"/>
        <v>725356356.66666675</v>
      </c>
      <c r="CJ45" s="456">
        <f t="shared" si="53"/>
        <v>725356356.66666675</v>
      </c>
      <c r="CK45" s="456">
        <f t="shared" si="53"/>
        <v>725356356.66666675</v>
      </c>
      <c r="CL45" s="456">
        <f t="shared" si="53"/>
        <v>725356356.66666675</v>
      </c>
      <c r="CM45" s="319">
        <f t="shared" si="15"/>
        <v>725356356.66666579</v>
      </c>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c r="EO45" s="58"/>
      <c r="EP45" s="58"/>
      <c r="EQ45" s="58"/>
      <c r="ER45" s="58"/>
      <c r="ES45" s="58"/>
      <c r="ET45" s="58"/>
      <c r="EU45" s="58"/>
      <c r="EV45" s="58"/>
      <c r="EW45" s="58"/>
      <c r="EX45" s="58"/>
      <c r="EY45" s="58"/>
      <c r="EZ45" s="58"/>
      <c r="FA45" s="58"/>
      <c r="FB45" s="58"/>
      <c r="FC45" s="58"/>
      <c r="FD45" s="58"/>
      <c r="FE45" s="58"/>
      <c r="FF45" s="58"/>
      <c r="FG45" s="58"/>
      <c r="FH45" s="58"/>
      <c r="FI45" s="58"/>
      <c r="FJ45" s="58"/>
      <c r="FK45" s="58"/>
      <c r="FL45" s="58"/>
      <c r="FM45" s="58"/>
      <c r="FN45" s="58"/>
      <c r="FO45" s="58"/>
      <c r="FP45" s="58"/>
      <c r="FQ45" s="58"/>
      <c r="FR45" s="58"/>
      <c r="FS45" s="58"/>
      <c r="FT45" s="58"/>
      <c r="FU45" s="58"/>
      <c r="FV45" s="58"/>
    </row>
    <row r="46" spans="1:179" s="314" customFormat="1" ht="20.25" customHeight="1">
      <c r="A46" s="457" t="s">
        <v>238</v>
      </c>
      <c r="B46" s="53" t="s">
        <v>305</v>
      </c>
      <c r="C46" s="457" t="s">
        <v>323</v>
      </c>
      <c r="D46" s="457"/>
      <c r="E46" s="57">
        <v>3131</v>
      </c>
      <c r="F46" s="368" t="s">
        <v>326</v>
      </c>
      <c r="G46" s="458">
        <f t="shared" ref="G46:AS46" si="54">3131*G17</f>
        <v>286609130.83333337</v>
      </c>
      <c r="H46" s="458">
        <f t="shared" si="54"/>
        <v>286609130.83333337</v>
      </c>
      <c r="I46" s="458">
        <f t="shared" si="54"/>
        <v>286609130.83333337</v>
      </c>
      <c r="J46" s="458">
        <f t="shared" si="54"/>
        <v>286609130.83333337</v>
      </c>
      <c r="K46" s="458">
        <f t="shared" si="54"/>
        <v>286609130.83333337</v>
      </c>
      <c r="L46" s="458">
        <f t="shared" si="54"/>
        <v>286609130.83333337</v>
      </c>
      <c r="M46" s="458">
        <f t="shared" si="54"/>
        <v>286609130.83333337</v>
      </c>
      <c r="N46" s="458">
        <f t="shared" si="54"/>
        <v>286609130.83333337</v>
      </c>
      <c r="O46" s="458">
        <f t="shared" si="54"/>
        <v>286609130.83333337</v>
      </c>
      <c r="P46" s="458">
        <f t="shared" si="54"/>
        <v>286609130.83333337</v>
      </c>
      <c r="Q46" s="458">
        <f t="shared" si="54"/>
        <v>286609130.83333337</v>
      </c>
      <c r="R46" s="458">
        <f t="shared" si="54"/>
        <v>286609130.83333337</v>
      </c>
      <c r="S46" s="458">
        <f t="shared" si="54"/>
        <v>286609130.83333337</v>
      </c>
      <c r="T46" s="458">
        <f t="shared" si="54"/>
        <v>286609130.83333337</v>
      </c>
      <c r="U46" s="458">
        <f t="shared" si="54"/>
        <v>286609130.83333337</v>
      </c>
      <c r="V46" s="458">
        <f t="shared" si="54"/>
        <v>286609130.83333337</v>
      </c>
      <c r="W46" s="458">
        <f t="shared" si="54"/>
        <v>286609130.83333337</v>
      </c>
      <c r="X46" s="458">
        <f t="shared" si="54"/>
        <v>286609130.83333337</v>
      </c>
      <c r="Y46" s="458">
        <f t="shared" si="54"/>
        <v>286609130.83333337</v>
      </c>
      <c r="Z46" s="458">
        <f t="shared" si="54"/>
        <v>286609130.83333337</v>
      </c>
      <c r="AA46" s="458">
        <f t="shared" si="54"/>
        <v>286609130.83333337</v>
      </c>
      <c r="AB46" s="458">
        <f t="shared" si="54"/>
        <v>286609130.83333337</v>
      </c>
      <c r="AC46" s="458">
        <f t="shared" si="54"/>
        <v>286609130.83333337</v>
      </c>
      <c r="AD46" s="458">
        <f t="shared" si="54"/>
        <v>286609130.83333337</v>
      </c>
      <c r="AE46" s="458">
        <f t="shared" si="54"/>
        <v>286609130.83333337</v>
      </c>
      <c r="AF46" s="458">
        <f t="shared" si="54"/>
        <v>286609130.83333337</v>
      </c>
      <c r="AG46" s="458">
        <f t="shared" si="54"/>
        <v>286609130.83333337</v>
      </c>
      <c r="AH46" s="458">
        <f t="shared" si="54"/>
        <v>286609130.83333337</v>
      </c>
      <c r="AI46" s="458">
        <f t="shared" si="54"/>
        <v>286609130.83333337</v>
      </c>
      <c r="AJ46" s="458">
        <f t="shared" si="54"/>
        <v>286609130.83333337</v>
      </c>
      <c r="AK46" s="458">
        <f t="shared" si="54"/>
        <v>286609130.83333337</v>
      </c>
      <c r="AL46" s="458">
        <f t="shared" si="54"/>
        <v>286609130.83333337</v>
      </c>
      <c r="AM46" s="458">
        <f t="shared" si="54"/>
        <v>286609130.83333337</v>
      </c>
      <c r="AN46" s="458">
        <f t="shared" si="54"/>
        <v>286609130.83333337</v>
      </c>
      <c r="AO46" s="458">
        <f t="shared" si="54"/>
        <v>286609130.83333337</v>
      </c>
      <c r="AP46" s="458">
        <f t="shared" si="54"/>
        <v>286609130.83333337</v>
      </c>
      <c r="AQ46" s="458">
        <f t="shared" si="54"/>
        <v>286609130.83333337</v>
      </c>
      <c r="AR46" s="458">
        <f t="shared" si="54"/>
        <v>286609130.83333337</v>
      </c>
      <c r="AS46" s="458">
        <f t="shared" si="54"/>
        <v>286609130.83333337</v>
      </c>
      <c r="AT46" s="458">
        <f>3131*AT17</f>
        <v>286609130.83333337</v>
      </c>
      <c r="AU46" s="459">
        <f t="shared" ref="AU46:CL46" si="55">3131*AU17</f>
        <v>286609130.83333337</v>
      </c>
      <c r="AV46" s="459">
        <f t="shared" si="55"/>
        <v>286609130.83333337</v>
      </c>
      <c r="AW46" s="459">
        <f t="shared" si="55"/>
        <v>286609130.83333337</v>
      </c>
      <c r="AX46" s="459">
        <f t="shared" si="55"/>
        <v>286609130.83333337</v>
      </c>
      <c r="AY46" s="459">
        <f t="shared" si="55"/>
        <v>286609130.83333337</v>
      </c>
      <c r="AZ46" s="459">
        <f t="shared" si="55"/>
        <v>286609130.83333337</v>
      </c>
      <c r="BA46" s="459">
        <f t="shared" si="55"/>
        <v>286609130.83333337</v>
      </c>
      <c r="BB46" s="459">
        <f t="shared" si="55"/>
        <v>286609130.83333337</v>
      </c>
      <c r="BC46" s="459">
        <f t="shared" si="55"/>
        <v>286609130.83333337</v>
      </c>
      <c r="BD46" s="459">
        <f t="shared" si="55"/>
        <v>286609130.83333337</v>
      </c>
      <c r="BE46" s="459">
        <f t="shared" si="55"/>
        <v>286609130.83333337</v>
      </c>
      <c r="BF46" s="459">
        <f t="shared" si="55"/>
        <v>286609130.83333337</v>
      </c>
      <c r="BG46" s="459">
        <f t="shared" si="55"/>
        <v>286609130.83333337</v>
      </c>
      <c r="BH46" s="459">
        <f t="shared" si="55"/>
        <v>286609130.83333337</v>
      </c>
      <c r="BI46" s="459">
        <f t="shared" si="55"/>
        <v>286609130.83333337</v>
      </c>
      <c r="BJ46" s="459">
        <f t="shared" si="55"/>
        <v>286609130.83333337</v>
      </c>
      <c r="BK46" s="459">
        <f t="shared" si="55"/>
        <v>286609130.83333337</v>
      </c>
      <c r="BL46" s="459">
        <f t="shared" si="55"/>
        <v>286609130.83333337</v>
      </c>
      <c r="BM46" s="459">
        <f t="shared" si="55"/>
        <v>286609130.83333337</v>
      </c>
      <c r="BN46" s="459">
        <f t="shared" si="55"/>
        <v>286609130.83333337</v>
      </c>
      <c r="BO46" s="459">
        <f t="shared" si="55"/>
        <v>286609130.83333337</v>
      </c>
      <c r="BP46" s="459">
        <f t="shared" si="55"/>
        <v>286609130.83333337</v>
      </c>
      <c r="BQ46" s="459">
        <f t="shared" si="55"/>
        <v>286609130.83333337</v>
      </c>
      <c r="BR46" s="459">
        <f t="shared" si="55"/>
        <v>286609130.83333337</v>
      </c>
      <c r="BS46" s="459">
        <f t="shared" si="55"/>
        <v>286609130.83333337</v>
      </c>
      <c r="BT46" s="459">
        <f t="shared" si="55"/>
        <v>286609130.83333337</v>
      </c>
      <c r="BU46" s="459">
        <f t="shared" si="55"/>
        <v>286609130.83333337</v>
      </c>
      <c r="BV46" s="459">
        <f t="shared" si="55"/>
        <v>286609130.83333337</v>
      </c>
      <c r="BW46" s="459">
        <f t="shared" si="55"/>
        <v>286609130.83333337</v>
      </c>
      <c r="BX46" s="459">
        <f t="shared" si="55"/>
        <v>286609130.83333337</v>
      </c>
      <c r="BY46" s="459">
        <f t="shared" si="55"/>
        <v>286609130.83333337</v>
      </c>
      <c r="BZ46" s="459">
        <f t="shared" si="55"/>
        <v>286609130.83333337</v>
      </c>
      <c r="CA46" s="459">
        <f t="shared" si="55"/>
        <v>286609130.83333337</v>
      </c>
      <c r="CB46" s="459">
        <f t="shared" si="55"/>
        <v>286609130.83333337</v>
      </c>
      <c r="CC46" s="459">
        <f t="shared" si="55"/>
        <v>286609130.83333337</v>
      </c>
      <c r="CD46" s="459">
        <f t="shared" si="55"/>
        <v>286609130.83333337</v>
      </c>
      <c r="CE46" s="459">
        <f t="shared" si="55"/>
        <v>286609130.83333337</v>
      </c>
      <c r="CF46" s="459">
        <f t="shared" si="55"/>
        <v>286609130.83333337</v>
      </c>
      <c r="CG46" s="459">
        <f t="shared" si="55"/>
        <v>286609130.83333337</v>
      </c>
      <c r="CH46" s="459">
        <f t="shared" si="55"/>
        <v>286609130.83333337</v>
      </c>
      <c r="CI46" s="459">
        <f t="shared" si="55"/>
        <v>286609130.83333337</v>
      </c>
      <c r="CJ46" s="459">
        <f t="shared" si="55"/>
        <v>286609130.83333337</v>
      </c>
      <c r="CK46" s="459">
        <f t="shared" si="55"/>
        <v>286609130.83333337</v>
      </c>
      <c r="CL46" s="459">
        <f t="shared" si="55"/>
        <v>286609130.83333337</v>
      </c>
      <c r="CM46" s="319">
        <f t="shared" si="15"/>
        <v>286609130.83333313</v>
      </c>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row>
    <row r="47" spans="1:179" s="314" customFormat="1">
      <c r="A47" s="460" t="s">
        <v>329</v>
      </c>
      <c r="B47" s="180" t="s">
        <v>309</v>
      </c>
      <c r="C47" s="460" t="s">
        <v>323</v>
      </c>
      <c r="D47" s="460"/>
      <c r="E47" s="461"/>
      <c r="F47" s="375" t="s">
        <v>148</v>
      </c>
      <c r="G47" s="462">
        <f t="shared" ref="G47:BR48" si="56">G13*G3</f>
        <v>1107493669.8012562</v>
      </c>
      <c r="H47" s="462">
        <f t="shared" si="56"/>
        <v>1230545341.7983644</v>
      </c>
      <c r="I47" s="462">
        <f t="shared" si="56"/>
        <v>1242656695.758219</v>
      </c>
      <c r="J47" s="462">
        <f t="shared" si="56"/>
        <v>1235461272.4187973</v>
      </c>
      <c r="K47" s="462">
        <f t="shared" si="56"/>
        <v>1234675842.8219807</v>
      </c>
      <c r="L47" s="462">
        <f t="shared" si="56"/>
        <v>1239842784.6427374</v>
      </c>
      <c r="M47" s="462">
        <f t="shared" si="56"/>
        <v>1242637181.9076552</v>
      </c>
      <c r="N47" s="462">
        <f t="shared" si="56"/>
        <v>1254585828.0181971</v>
      </c>
      <c r="O47" s="462">
        <f t="shared" si="56"/>
        <v>1198299137.1122069</v>
      </c>
      <c r="P47" s="462">
        <f t="shared" si="56"/>
        <v>1196333672.8999903</v>
      </c>
      <c r="Q47" s="462">
        <f t="shared" si="56"/>
        <v>1211759948.5644808</v>
      </c>
      <c r="R47" s="462">
        <f t="shared" si="56"/>
        <v>1223586338.0773871</v>
      </c>
      <c r="S47" s="462">
        <f t="shared" si="56"/>
        <v>1211452094.4963081</v>
      </c>
      <c r="T47" s="462">
        <f t="shared" si="56"/>
        <v>1223161679.4251001</v>
      </c>
      <c r="U47" s="462">
        <f t="shared" si="56"/>
        <v>1099255476.2262545</v>
      </c>
      <c r="V47" s="462">
        <f t="shared" si="56"/>
        <v>1108208010.1804583</v>
      </c>
      <c r="W47" s="462">
        <f t="shared" si="56"/>
        <v>1112688738.6591952</v>
      </c>
      <c r="X47" s="462">
        <f t="shared" si="56"/>
        <v>1099931291.0351725</v>
      </c>
      <c r="Y47" s="462">
        <f t="shared" si="56"/>
        <v>983732647.61902022</v>
      </c>
      <c r="Z47" s="462">
        <f t="shared" si="56"/>
        <v>986566543.41852403</v>
      </c>
      <c r="AA47" s="462">
        <f t="shared" si="56"/>
        <v>988641910.04343271</v>
      </c>
      <c r="AB47" s="462">
        <f t="shared" si="56"/>
        <v>986618348.82592595</v>
      </c>
      <c r="AC47" s="462">
        <f t="shared" si="56"/>
        <v>986672954.52562022</v>
      </c>
      <c r="AD47" s="462">
        <f t="shared" si="56"/>
        <v>985372568.79252255</v>
      </c>
      <c r="AE47" s="462">
        <f t="shared" si="56"/>
        <v>899524975.74475014</v>
      </c>
      <c r="AF47" s="462">
        <f t="shared" si="56"/>
        <v>907033030.67062509</v>
      </c>
      <c r="AG47" s="462">
        <f t="shared" si="56"/>
        <v>905332894.06156254</v>
      </c>
      <c r="AH47" s="462">
        <f t="shared" si="56"/>
        <v>906205411.60475016</v>
      </c>
      <c r="AI47" s="462">
        <f t="shared" si="56"/>
        <v>899959375.66218746</v>
      </c>
      <c r="AJ47" s="462">
        <f t="shared" si="56"/>
        <v>892747021.53593743</v>
      </c>
      <c r="AK47" s="462">
        <f t="shared" si="56"/>
        <v>883064061.49084008</v>
      </c>
      <c r="AL47" s="462">
        <f t="shared" si="56"/>
        <v>883247041.37442994</v>
      </c>
      <c r="AM47" s="462">
        <f t="shared" si="56"/>
        <v>883391723.14285004</v>
      </c>
      <c r="AN47" s="462">
        <f t="shared" si="56"/>
        <v>882177814.73683226</v>
      </c>
      <c r="AO47" s="462">
        <f t="shared" si="56"/>
        <v>881164758.66815007</v>
      </c>
      <c r="AP47" s="462">
        <f t="shared" si="56"/>
        <v>883625767.18000007</v>
      </c>
      <c r="AQ47" s="462">
        <f t="shared" si="56"/>
        <v>947089267.26026022</v>
      </c>
      <c r="AR47" s="462">
        <f t="shared" si="56"/>
        <v>946449575.48980641</v>
      </c>
      <c r="AS47" s="462">
        <f t="shared" si="56"/>
        <v>940503913.22024</v>
      </c>
      <c r="AT47" s="462">
        <f t="shared" si="56"/>
        <v>939432801.41855001</v>
      </c>
      <c r="AU47" s="373">
        <f t="shared" si="56"/>
        <v>944986714.4643501</v>
      </c>
      <c r="AV47" s="373">
        <f t="shared" si="56"/>
        <v>947796729.99347508</v>
      </c>
      <c r="AW47" s="373">
        <f t="shared" si="56"/>
        <v>979483204.0659101</v>
      </c>
      <c r="AX47" s="373">
        <f t="shared" si="56"/>
        <v>990346587.97618747</v>
      </c>
      <c r="AY47" s="373">
        <f t="shared" si="56"/>
        <v>993575675.02540004</v>
      </c>
      <c r="AZ47" s="373">
        <f t="shared" si="56"/>
        <v>998189156.57647014</v>
      </c>
      <c r="BA47" s="373">
        <f t="shared" si="56"/>
        <v>1007655894.7061125</v>
      </c>
      <c r="BB47" s="373">
        <f t="shared" si="56"/>
        <v>1024784932.61974</v>
      </c>
      <c r="BC47" s="373">
        <f t="shared" si="56"/>
        <v>1080523377.9997001</v>
      </c>
      <c r="BD47" s="373">
        <f t="shared" si="56"/>
        <v>1064918611.9333001</v>
      </c>
      <c r="BE47" s="373">
        <f t="shared" si="56"/>
        <v>1059455790.7485281</v>
      </c>
      <c r="BF47" s="373">
        <f t="shared" si="56"/>
        <v>1063340839.40368</v>
      </c>
      <c r="BG47" s="373">
        <f t="shared" si="56"/>
        <v>1064486213.8588001</v>
      </c>
      <c r="BH47" s="373">
        <f t="shared" si="56"/>
        <v>1050380427.784</v>
      </c>
      <c r="BI47" s="373">
        <f t="shared" si="56"/>
        <v>1103422390.7271476</v>
      </c>
      <c r="BJ47" s="373">
        <f t="shared" si="56"/>
        <v>1107037701.9136188</v>
      </c>
      <c r="BK47" s="373">
        <f t="shared" si="56"/>
        <v>1102199136.5743871</v>
      </c>
      <c r="BL47" s="373">
        <f t="shared" si="56"/>
        <v>1100167977.5050001</v>
      </c>
      <c r="BM47" s="373">
        <f t="shared" si="56"/>
        <v>1119257580.3547564</v>
      </c>
      <c r="BN47" s="373">
        <f t="shared" si="56"/>
        <v>1117117940.8446312</v>
      </c>
      <c r="BO47" s="373">
        <f t="shared" si="56"/>
        <v>1041581824.7531776</v>
      </c>
      <c r="BP47" s="373">
        <f t="shared" si="56"/>
        <v>1047044631.0671163</v>
      </c>
      <c r="BQ47" s="373">
        <f t="shared" si="56"/>
        <v>1044350730.435738</v>
      </c>
      <c r="BR47" s="373">
        <f t="shared" si="56"/>
        <v>1044038886.774665</v>
      </c>
      <c r="BS47" s="373">
        <f t="shared" ref="BS47:CL48" si="57">BS13*BS3</f>
        <v>1048727626.1810826</v>
      </c>
      <c r="BT47" s="373">
        <f t="shared" si="57"/>
        <v>1071824009.1830651</v>
      </c>
      <c r="BU47" s="373">
        <f t="shared" si="57"/>
        <v>933838119.41144025</v>
      </c>
      <c r="BV47" s="373">
        <f t="shared" si="57"/>
        <v>931563476.75752008</v>
      </c>
      <c r="BW47" s="373">
        <f t="shared" si="57"/>
        <v>931265476.69829273</v>
      </c>
      <c r="BX47" s="373">
        <f t="shared" si="57"/>
        <v>927440686.94729006</v>
      </c>
      <c r="BY47" s="373">
        <f t="shared" si="57"/>
        <v>923612069.67259097</v>
      </c>
      <c r="BZ47" s="373">
        <f t="shared" si="57"/>
        <v>919457566.09459019</v>
      </c>
      <c r="CA47" s="373">
        <f t="shared" si="57"/>
        <v>819517976.81008136</v>
      </c>
      <c r="CB47" s="373">
        <f t="shared" si="57"/>
        <v>820985081.74256516</v>
      </c>
      <c r="CC47" s="373">
        <f t="shared" si="57"/>
        <v>818644675.68837261</v>
      </c>
      <c r="CD47" s="373">
        <f t="shared" si="57"/>
        <v>816711332.38446307</v>
      </c>
      <c r="CE47" s="373">
        <f t="shared" si="57"/>
        <v>816850978.65996253</v>
      </c>
      <c r="CF47" s="373">
        <f t="shared" si="57"/>
        <v>815654156.84134877</v>
      </c>
      <c r="CG47" s="373">
        <f t="shared" si="57"/>
        <v>822985586.30507255</v>
      </c>
      <c r="CH47" s="373">
        <f t="shared" si="57"/>
        <v>816303450.59444118</v>
      </c>
      <c r="CI47" s="373">
        <f t="shared" si="57"/>
        <v>820774179.00977254</v>
      </c>
      <c r="CJ47" s="373">
        <f t="shared" si="57"/>
        <v>822607804.22545874</v>
      </c>
      <c r="CK47" s="373">
        <f t="shared" si="57"/>
        <v>820119356.73844206</v>
      </c>
      <c r="CL47" s="373">
        <f t="shared" si="57"/>
        <v>819790307.52329886</v>
      </c>
      <c r="CM47" s="319">
        <f t="shared" si="15"/>
        <v>1005785074.8322098</v>
      </c>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row>
    <row r="48" spans="1:179" s="314" customFormat="1">
      <c r="A48" s="460" t="s">
        <v>329</v>
      </c>
      <c r="B48" s="180" t="s">
        <v>309</v>
      </c>
      <c r="C48" s="460" t="s">
        <v>323</v>
      </c>
      <c r="D48" s="460"/>
      <c r="E48" s="461"/>
      <c r="F48" s="375" t="s">
        <v>0</v>
      </c>
      <c r="G48" s="462">
        <f t="shared" si="56"/>
        <v>1068820504.2419361</v>
      </c>
      <c r="H48" s="462">
        <f t="shared" si="56"/>
        <v>891653405.09945667</v>
      </c>
      <c r="I48" s="462">
        <f t="shared" si="56"/>
        <v>817608372.84422076</v>
      </c>
      <c r="J48" s="462">
        <f t="shared" si="56"/>
        <v>625517884.61011457</v>
      </c>
      <c r="K48" s="462">
        <f t="shared" si="56"/>
        <v>661588334.7313875</v>
      </c>
      <c r="L48" s="462">
        <f t="shared" si="56"/>
        <v>740395440.12241662</v>
      </c>
      <c r="M48" s="462">
        <f t="shared" si="56"/>
        <v>683799506.18949318</v>
      </c>
      <c r="N48" s="462">
        <f t="shared" si="56"/>
        <v>702624683.54401243</v>
      </c>
      <c r="O48" s="462">
        <f t="shared" si="56"/>
        <v>612524947.26549363</v>
      </c>
      <c r="P48" s="462">
        <f t="shared" si="56"/>
        <v>595675760.0740912</v>
      </c>
      <c r="Q48" s="462">
        <f t="shared" si="56"/>
        <v>562946070.05572331</v>
      </c>
      <c r="R48" s="462">
        <f t="shared" si="56"/>
        <v>494108036.23607987</v>
      </c>
      <c r="S48" s="462">
        <f t="shared" si="56"/>
        <v>554988214.84283984</v>
      </c>
      <c r="T48" s="462">
        <f t="shared" si="56"/>
        <v>619223062.85017657</v>
      </c>
      <c r="U48" s="462">
        <f t="shared" si="56"/>
        <v>725191314.62092817</v>
      </c>
      <c r="V48" s="462">
        <f t="shared" si="56"/>
        <v>550154904.89999998</v>
      </c>
      <c r="W48" s="462">
        <f t="shared" si="56"/>
        <v>459430836.99166667</v>
      </c>
      <c r="X48" s="462">
        <f t="shared" si="56"/>
        <v>456761787.34999996</v>
      </c>
      <c r="Y48" s="462">
        <f t="shared" si="56"/>
        <v>503104047.5</v>
      </c>
      <c r="Z48" s="462">
        <f t="shared" si="56"/>
        <v>514276264.14166665</v>
      </c>
      <c r="AA48" s="462">
        <f t="shared" si="56"/>
        <v>524125765.91666663</v>
      </c>
      <c r="AB48" s="462">
        <f t="shared" si="56"/>
        <v>467012827.56666666</v>
      </c>
      <c r="AC48" s="462">
        <f t="shared" si="56"/>
        <v>450904050.08333331</v>
      </c>
      <c r="AD48" s="462">
        <f t="shared" si="56"/>
        <v>465406673.79999995</v>
      </c>
      <c r="AE48" s="462">
        <f t="shared" si="56"/>
        <v>536124679.35000002</v>
      </c>
      <c r="AF48" s="462">
        <f t="shared" si="56"/>
        <v>625006394.4083333</v>
      </c>
      <c r="AG48" s="462">
        <f t="shared" si="56"/>
        <v>608496078.48333335</v>
      </c>
      <c r="AH48" s="462">
        <f t="shared" si="56"/>
        <v>699409105.65833342</v>
      </c>
      <c r="AI48" s="462">
        <f t="shared" si="56"/>
        <v>805887652.42500007</v>
      </c>
      <c r="AJ48" s="462">
        <f t="shared" si="56"/>
        <v>745278967.64166665</v>
      </c>
      <c r="AK48" s="462">
        <f t="shared" si="56"/>
        <v>654271460.83333325</v>
      </c>
      <c r="AL48" s="462">
        <f t="shared" si="56"/>
        <v>585820966.48333335</v>
      </c>
      <c r="AM48" s="462">
        <f t="shared" si="56"/>
        <v>586057165.5666666</v>
      </c>
      <c r="AN48" s="462">
        <f t="shared" si="56"/>
        <v>524409204.81666666</v>
      </c>
      <c r="AO48" s="462">
        <f t="shared" si="56"/>
        <v>634832276.27499998</v>
      </c>
      <c r="AP48" s="462">
        <f t="shared" si="56"/>
        <v>731272362</v>
      </c>
      <c r="AQ48" s="462">
        <f t="shared" si="56"/>
        <v>882770454.04999995</v>
      </c>
      <c r="AR48" s="462">
        <f t="shared" si="56"/>
        <v>880432083.125</v>
      </c>
      <c r="AS48" s="462">
        <f t="shared" si="56"/>
        <v>893824571.14999998</v>
      </c>
      <c r="AT48" s="462">
        <f t="shared" si="56"/>
        <v>887399956.08333337</v>
      </c>
      <c r="AU48" s="373">
        <f t="shared" si="56"/>
        <v>800289734.14999998</v>
      </c>
      <c r="AV48" s="373">
        <f t="shared" si="56"/>
        <v>737720596.97500002</v>
      </c>
      <c r="AW48" s="373">
        <f t="shared" si="56"/>
        <v>738287474.77499998</v>
      </c>
      <c r="AX48" s="373">
        <f t="shared" si="56"/>
        <v>796793987.71666658</v>
      </c>
      <c r="AY48" s="373">
        <f t="shared" si="56"/>
        <v>898477693.0916667</v>
      </c>
      <c r="AZ48" s="373">
        <f t="shared" si="56"/>
        <v>899965747.31666672</v>
      </c>
      <c r="BA48" s="373">
        <f t="shared" si="56"/>
        <v>956748006.95000005</v>
      </c>
      <c r="BB48" s="373">
        <f t="shared" si="56"/>
        <v>1021868094.225</v>
      </c>
      <c r="BC48" s="373">
        <f t="shared" si="56"/>
        <v>1135716052.3916667</v>
      </c>
      <c r="BD48" s="373">
        <f t="shared" si="56"/>
        <v>908752353.2166667</v>
      </c>
      <c r="BE48" s="373">
        <f t="shared" si="56"/>
        <v>744168831.95000005</v>
      </c>
      <c r="BF48" s="373">
        <f t="shared" si="56"/>
        <v>718777430.49166667</v>
      </c>
      <c r="BG48" s="373">
        <f t="shared" si="56"/>
        <v>739492090.10000002</v>
      </c>
      <c r="BH48" s="373">
        <f t="shared" si="56"/>
        <v>803360322.23333335</v>
      </c>
      <c r="BI48" s="373">
        <f t="shared" si="56"/>
        <v>843892084.9333334</v>
      </c>
      <c r="BJ48" s="373">
        <f t="shared" si="56"/>
        <v>865126382.52499998</v>
      </c>
      <c r="BK48" s="373">
        <f t="shared" si="56"/>
        <v>705290462.83333325</v>
      </c>
      <c r="BL48" s="373">
        <f t="shared" si="56"/>
        <v>609558974.35833335</v>
      </c>
      <c r="BM48" s="373">
        <f t="shared" si="56"/>
        <v>621605127.60833335</v>
      </c>
      <c r="BN48" s="373">
        <f t="shared" si="56"/>
        <v>587309020.70833337</v>
      </c>
      <c r="BO48" s="373">
        <f t="shared" si="56"/>
        <v>703330010.44166672</v>
      </c>
      <c r="BP48" s="373">
        <f t="shared" si="56"/>
        <v>727162497.95000005</v>
      </c>
      <c r="BQ48" s="373">
        <f t="shared" si="56"/>
        <v>739893628.54166663</v>
      </c>
      <c r="BR48" s="373">
        <f t="shared" si="56"/>
        <v>951079228.94999993</v>
      </c>
      <c r="BS48" s="373">
        <f t="shared" si="57"/>
        <v>857213713.23333335</v>
      </c>
      <c r="BT48" s="373">
        <f t="shared" si="57"/>
        <v>759923310.8083334</v>
      </c>
      <c r="BU48" s="373">
        <f t="shared" si="57"/>
        <v>413749934.27500004</v>
      </c>
      <c r="BV48" s="373">
        <f t="shared" si="57"/>
        <v>608307119.21666658</v>
      </c>
      <c r="BW48" s="373">
        <f t="shared" si="57"/>
        <v>626305489.36666667</v>
      </c>
      <c r="BX48" s="373">
        <f t="shared" si="57"/>
        <v>636769108.75833333</v>
      </c>
      <c r="BY48" s="373">
        <f t="shared" si="57"/>
        <v>641422230.69999993</v>
      </c>
      <c r="BZ48" s="373">
        <f t="shared" si="57"/>
        <v>633344222.04999995</v>
      </c>
      <c r="CA48" s="373">
        <f t="shared" si="57"/>
        <v>652547207.52499998</v>
      </c>
      <c r="CB48" s="373">
        <f t="shared" si="57"/>
        <v>752860958.2166667</v>
      </c>
      <c r="CC48" s="373">
        <f t="shared" si="57"/>
        <v>781842585.74166656</v>
      </c>
      <c r="CD48" s="373">
        <f t="shared" si="57"/>
        <v>949331355.73333323</v>
      </c>
      <c r="CE48" s="373">
        <f t="shared" si="57"/>
        <v>1042960672.3666666</v>
      </c>
      <c r="CF48" s="373">
        <f t="shared" si="57"/>
        <v>1074753068.9833333</v>
      </c>
      <c r="CG48" s="373">
        <f t="shared" si="57"/>
        <v>985398955.75833321</v>
      </c>
      <c r="CH48" s="373">
        <f t="shared" si="57"/>
        <v>852867650.0999999</v>
      </c>
      <c r="CI48" s="373">
        <f t="shared" si="57"/>
        <v>923373076.4749999</v>
      </c>
      <c r="CJ48" s="373">
        <f t="shared" si="57"/>
        <v>1090554787.6583333</v>
      </c>
      <c r="CK48" s="373">
        <f t="shared" si="57"/>
        <v>1153005825.2916667</v>
      </c>
      <c r="CL48" s="375">
        <f t="shared" si="57"/>
        <v>1156855870.3500001</v>
      </c>
      <c r="CM48" s="319">
        <f t="shared" si="15"/>
        <v>736633202.98773825</v>
      </c>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row>
    <row r="49" spans="1:178">
      <c r="A49" s="463" t="s">
        <v>329</v>
      </c>
      <c r="B49" s="52" t="s">
        <v>309</v>
      </c>
      <c r="C49" s="362" t="s">
        <v>323</v>
      </c>
      <c r="D49" s="362"/>
      <c r="E49" s="58"/>
      <c r="F49" s="382" t="s">
        <v>304</v>
      </c>
      <c r="G49" s="464">
        <f t="shared" ref="G49:BR50" si="58">G5*G15</f>
        <v>683503476.49976957</v>
      </c>
      <c r="H49" s="464">
        <f t="shared" si="58"/>
        <v>538864213.79637992</v>
      </c>
      <c r="I49" s="464">
        <f t="shared" si="58"/>
        <v>520618206.27205974</v>
      </c>
      <c r="J49" s="464">
        <f t="shared" si="58"/>
        <v>425021122.92146957</v>
      </c>
      <c r="K49" s="464">
        <f t="shared" si="58"/>
        <v>433589161.67983598</v>
      </c>
      <c r="L49" s="464">
        <f t="shared" si="58"/>
        <v>418517302.84053636</v>
      </c>
      <c r="M49" s="464">
        <f t="shared" si="58"/>
        <v>429270124.30965066</v>
      </c>
      <c r="N49" s="464">
        <f t="shared" si="58"/>
        <v>440987129.52896464</v>
      </c>
      <c r="O49" s="464">
        <f t="shared" si="58"/>
        <v>408868158.21571499</v>
      </c>
      <c r="P49" s="464">
        <f t="shared" si="58"/>
        <v>393789033.22715813</v>
      </c>
      <c r="Q49" s="464">
        <f t="shared" si="58"/>
        <v>379049365.15474671</v>
      </c>
      <c r="R49" s="464">
        <f t="shared" si="58"/>
        <v>332500508.43352795</v>
      </c>
      <c r="S49" s="464">
        <f t="shared" si="58"/>
        <v>345729135.13295448</v>
      </c>
      <c r="T49" s="464">
        <f t="shared" si="58"/>
        <v>418987570.52982098</v>
      </c>
      <c r="U49" s="464">
        <f t="shared" si="58"/>
        <v>460097874.6054889</v>
      </c>
      <c r="V49" s="464">
        <f t="shared" si="58"/>
        <v>383237166.66666663</v>
      </c>
      <c r="W49" s="464">
        <f t="shared" si="58"/>
        <v>312930166.66666663</v>
      </c>
      <c r="X49" s="464">
        <f t="shared" si="58"/>
        <v>310592166.66666663</v>
      </c>
      <c r="Y49" s="464">
        <f t="shared" si="58"/>
        <v>339107416.66666663</v>
      </c>
      <c r="Z49" s="464">
        <f t="shared" si="58"/>
        <v>370545166.66666663</v>
      </c>
      <c r="AA49" s="464">
        <f t="shared" si="58"/>
        <v>357240833.33333331</v>
      </c>
      <c r="AB49" s="464">
        <f t="shared" si="58"/>
        <v>302423083.33333331</v>
      </c>
      <c r="AC49" s="464">
        <f t="shared" si="58"/>
        <v>282731000</v>
      </c>
      <c r="AD49" s="464">
        <f t="shared" si="58"/>
        <v>311107083.33333331</v>
      </c>
      <c r="AE49" s="464">
        <f t="shared" si="58"/>
        <v>359523166.66666663</v>
      </c>
      <c r="AF49" s="464">
        <f t="shared" si="58"/>
        <v>434520083.33333331</v>
      </c>
      <c r="AG49" s="464">
        <f t="shared" si="58"/>
        <v>414452250</v>
      </c>
      <c r="AH49" s="464">
        <f t="shared" si="58"/>
        <v>490451166.66666663</v>
      </c>
      <c r="AI49" s="464">
        <f t="shared" si="58"/>
        <v>584263416.66666663</v>
      </c>
      <c r="AJ49" s="464">
        <f t="shared" si="58"/>
        <v>574090333.33333325</v>
      </c>
      <c r="AK49" s="464">
        <f t="shared" si="58"/>
        <v>459444833.33333331</v>
      </c>
      <c r="AL49" s="464">
        <f t="shared" si="58"/>
        <v>365702166.66666663</v>
      </c>
      <c r="AM49" s="464">
        <f t="shared" si="58"/>
        <v>365841333.33333331</v>
      </c>
      <c r="AN49" s="464">
        <f t="shared" si="58"/>
        <v>341890750</v>
      </c>
      <c r="AO49" s="464">
        <f t="shared" si="58"/>
        <v>428466333.33333331</v>
      </c>
      <c r="AP49" s="464">
        <f t="shared" si="58"/>
        <v>469409166.66666663</v>
      </c>
      <c r="AQ49" s="464">
        <f t="shared" si="58"/>
        <v>548734166.66666663</v>
      </c>
      <c r="AR49" s="464">
        <f t="shared" si="58"/>
        <v>547272916.66666663</v>
      </c>
      <c r="AS49" s="464">
        <f t="shared" si="58"/>
        <v>532131583.33333331</v>
      </c>
      <c r="AT49" s="464">
        <f t="shared" si="58"/>
        <v>528304500</v>
      </c>
      <c r="AU49" s="376">
        <f t="shared" si="58"/>
        <v>474377416.66666663</v>
      </c>
      <c r="AV49" s="376">
        <f t="shared" si="58"/>
        <v>440392916.66666663</v>
      </c>
      <c r="AW49" s="376">
        <f t="shared" si="58"/>
        <v>450176333.33333331</v>
      </c>
      <c r="AX49" s="376">
        <f t="shared" si="58"/>
        <v>495934333.33333331</v>
      </c>
      <c r="AY49" s="376">
        <f t="shared" si="58"/>
        <v>553674583.33333325</v>
      </c>
      <c r="AZ49" s="376">
        <f t="shared" si="58"/>
        <v>569581333.33333325</v>
      </c>
      <c r="BA49" s="376">
        <f t="shared" si="58"/>
        <v>604832250</v>
      </c>
      <c r="BB49" s="376">
        <f t="shared" si="58"/>
        <v>666441333.33333325</v>
      </c>
      <c r="BC49" s="376">
        <f t="shared" si="58"/>
        <v>699869166.66666663</v>
      </c>
      <c r="BD49" s="376">
        <f t="shared" si="58"/>
        <v>544461750</v>
      </c>
      <c r="BE49" s="376">
        <f t="shared" si="58"/>
        <v>427673083.33333331</v>
      </c>
      <c r="BF49" s="376">
        <f t="shared" si="58"/>
        <v>432641333.33333331</v>
      </c>
      <c r="BG49" s="376">
        <f t="shared" si="58"/>
        <v>486777166.66666663</v>
      </c>
      <c r="BH49" s="376">
        <f t="shared" si="58"/>
        <v>525368083.33333331</v>
      </c>
      <c r="BI49" s="376">
        <f t="shared" si="58"/>
        <v>540231083.33333325</v>
      </c>
      <c r="BJ49" s="376">
        <f t="shared" si="58"/>
        <v>538199250</v>
      </c>
      <c r="BK49" s="376">
        <f t="shared" si="58"/>
        <v>419462250</v>
      </c>
      <c r="BL49" s="376">
        <f t="shared" si="58"/>
        <v>355598666.66666663</v>
      </c>
      <c r="BM49" s="376">
        <f t="shared" si="58"/>
        <v>372702250</v>
      </c>
      <c r="BN49" s="376">
        <f t="shared" si="58"/>
        <v>372256916.66666663</v>
      </c>
      <c r="BO49" s="376">
        <f t="shared" si="58"/>
        <v>448896000</v>
      </c>
      <c r="BP49" s="376">
        <f t="shared" si="58"/>
        <v>463745083.33333331</v>
      </c>
      <c r="BQ49" s="376">
        <f t="shared" si="58"/>
        <v>471496666.66666663</v>
      </c>
      <c r="BR49" s="376">
        <f t="shared" si="58"/>
        <v>612013250</v>
      </c>
      <c r="BS49" s="376">
        <f t="shared" ref="BS49:CL50" si="59">BS5*BS15</f>
        <v>570082333.33333325</v>
      </c>
      <c r="BT49" s="376">
        <f t="shared" si="59"/>
        <v>522737833.33333331</v>
      </c>
      <c r="BU49" s="376">
        <f t="shared" si="59"/>
        <v>266044916.66666666</v>
      </c>
      <c r="BV49" s="376">
        <f t="shared" si="59"/>
        <v>374859333.33333331</v>
      </c>
      <c r="BW49" s="376">
        <f t="shared" si="59"/>
        <v>363893000</v>
      </c>
      <c r="BX49" s="376">
        <f t="shared" si="59"/>
        <v>370600833.33333331</v>
      </c>
      <c r="BY49" s="376">
        <f t="shared" si="59"/>
        <v>373606833.33333331</v>
      </c>
      <c r="BZ49" s="376">
        <f t="shared" si="59"/>
        <v>379604916.66666663</v>
      </c>
      <c r="CA49" s="376">
        <f t="shared" si="59"/>
        <v>407480000</v>
      </c>
      <c r="CB49" s="376">
        <f t="shared" si="59"/>
        <v>474739250</v>
      </c>
      <c r="CC49" s="376">
        <f t="shared" si="59"/>
        <v>492496916.66666663</v>
      </c>
      <c r="CD49" s="376">
        <f t="shared" si="59"/>
        <v>563736333.33333325</v>
      </c>
      <c r="CE49" s="376">
        <f t="shared" si="59"/>
        <v>621462666.66666663</v>
      </c>
      <c r="CF49" s="376">
        <f t="shared" si="59"/>
        <v>630508500</v>
      </c>
      <c r="CG49" s="376">
        <f t="shared" si="59"/>
        <v>574716583.33333325</v>
      </c>
      <c r="CH49" s="376">
        <f t="shared" si="59"/>
        <v>504340000</v>
      </c>
      <c r="CI49" s="376">
        <f t="shared" si="59"/>
        <v>563652833.33333325</v>
      </c>
      <c r="CJ49" s="376">
        <f t="shared" si="59"/>
        <v>672035833.33333325</v>
      </c>
      <c r="CK49" s="376">
        <f t="shared" si="59"/>
        <v>705143583.33333325</v>
      </c>
      <c r="CL49" s="382">
        <f t="shared" si="59"/>
        <v>712895166.66666663</v>
      </c>
      <c r="CM49" s="319">
        <f t="shared" si="15"/>
        <v>466133866.66446126</v>
      </c>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58"/>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c r="FP49" s="58"/>
      <c r="FQ49" s="58"/>
      <c r="FR49" s="58"/>
      <c r="FS49" s="58"/>
      <c r="FT49" s="58"/>
      <c r="FU49" s="58"/>
      <c r="FV49" s="58"/>
    </row>
    <row r="50" spans="1:178">
      <c r="A50" s="463" t="s">
        <v>329</v>
      </c>
      <c r="B50" s="52" t="s">
        <v>309</v>
      </c>
      <c r="C50" s="362" t="s">
        <v>323</v>
      </c>
      <c r="D50" s="362"/>
      <c r="E50" s="58"/>
      <c r="F50" s="382" t="s">
        <v>1</v>
      </c>
      <c r="G50" s="464">
        <f t="shared" si="58"/>
        <v>5453914136.0292702</v>
      </c>
      <c r="H50" s="464">
        <f t="shared" si="58"/>
        <v>4905444154.721076</v>
      </c>
      <c r="I50" s="464">
        <f t="shared" si="58"/>
        <v>3900695495.7033486</v>
      </c>
      <c r="J50" s="464">
        <f t="shared" si="58"/>
        <v>3067596743.0951667</v>
      </c>
      <c r="K50" s="464">
        <f t="shared" si="58"/>
        <v>3876674954.4495249</v>
      </c>
      <c r="L50" s="464">
        <f t="shared" si="58"/>
        <v>3858336254.0548792</v>
      </c>
      <c r="M50" s="464">
        <f t="shared" si="58"/>
        <v>4067847164.8143959</v>
      </c>
      <c r="N50" s="464">
        <f t="shared" si="58"/>
        <v>4345841855.0471687</v>
      </c>
      <c r="O50" s="464">
        <f t="shared" si="58"/>
        <v>4218013045.6939569</v>
      </c>
      <c r="P50" s="464">
        <f t="shared" si="58"/>
        <v>3630790624.94767</v>
      </c>
      <c r="Q50" s="464">
        <f t="shared" si="58"/>
        <v>3224134649.459631</v>
      </c>
      <c r="R50" s="464">
        <f t="shared" si="58"/>
        <v>3436720561.9541564</v>
      </c>
      <c r="S50" s="464">
        <f t="shared" si="58"/>
        <v>3558358775.2790899</v>
      </c>
      <c r="T50" s="464">
        <f t="shared" si="58"/>
        <v>3586757728.0434222</v>
      </c>
      <c r="U50" s="464">
        <f t="shared" si="58"/>
        <v>3307935770.1831083</v>
      </c>
      <c r="V50" s="464">
        <f t="shared" si="58"/>
        <v>2685210725.7549996</v>
      </c>
      <c r="W50" s="464">
        <f t="shared" si="58"/>
        <v>2559501472.9138155</v>
      </c>
      <c r="X50" s="464">
        <f t="shared" si="58"/>
        <v>2896627040.0403409</v>
      </c>
      <c r="Y50" s="464">
        <f t="shared" si="58"/>
        <v>3137323740.1857142</v>
      </c>
      <c r="Z50" s="464">
        <f t="shared" si="58"/>
        <v>3306797040.0799994</v>
      </c>
      <c r="AA50" s="464">
        <f t="shared" si="58"/>
        <v>3428381855.6414771</v>
      </c>
      <c r="AB50" s="464">
        <f t="shared" si="58"/>
        <v>3124217557.0450001</v>
      </c>
      <c r="AC50" s="464">
        <f t="shared" si="58"/>
        <v>3001539999.6045451</v>
      </c>
      <c r="AD50" s="464">
        <f t="shared" si="58"/>
        <v>3198572030.5437498</v>
      </c>
      <c r="AE50" s="464">
        <f t="shared" si="58"/>
        <v>3578945559.9192858</v>
      </c>
      <c r="AF50" s="464">
        <f t="shared" si="58"/>
        <v>3547090769.8147721</v>
      </c>
      <c r="AG50" s="464">
        <f t="shared" si="58"/>
        <v>3916722744.0544639</v>
      </c>
      <c r="AH50" s="464">
        <f t="shared" si="58"/>
        <v>4212146933.0049996</v>
      </c>
      <c r="AI50" s="464">
        <f t="shared" si="58"/>
        <v>4190381552.5062499</v>
      </c>
      <c r="AJ50" s="464">
        <f t="shared" si="58"/>
        <v>3711023030.5855975</v>
      </c>
      <c r="AK50" s="464">
        <f t="shared" si="58"/>
        <v>3740725655.3171053</v>
      </c>
      <c r="AL50" s="464">
        <f t="shared" si="58"/>
        <v>3482865709.5616074</v>
      </c>
      <c r="AM50" s="464">
        <f t="shared" si="58"/>
        <v>3220953463.3526788</v>
      </c>
      <c r="AN50" s="464">
        <f t="shared" si="58"/>
        <v>3306134940.3228569</v>
      </c>
      <c r="AO50" s="464">
        <f t="shared" si="58"/>
        <v>3600354474.252841</v>
      </c>
      <c r="AP50" s="464">
        <f t="shared" si="58"/>
        <v>3966743475</v>
      </c>
      <c r="AQ50" s="464">
        <f t="shared" si="58"/>
        <v>4172253780.0142856</v>
      </c>
      <c r="AR50" s="464">
        <f t="shared" si="58"/>
        <v>4633721435.082387</v>
      </c>
      <c r="AS50" s="464">
        <f t="shared" si="58"/>
        <v>4611895920.7000008</v>
      </c>
      <c r="AT50" s="464">
        <f t="shared" si="58"/>
        <v>4695092303.772727</v>
      </c>
      <c r="AU50" s="376">
        <f t="shared" si="58"/>
        <v>4413047736.2894735</v>
      </c>
      <c r="AV50" s="376">
        <f t="shared" si="58"/>
        <v>4536975490.2321415</v>
      </c>
      <c r="AW50" s="376">
        <f t="shared" si="58"/>
        <v>4851720214.7892857</v>
      </c>
      <c r="AX50" s="376">
        <f t="shared" si="58"/>
        <v>5529782889.7098227</v>
      </c>
      <c r="AY50" s="376">
        <f t="shared" si="58"/>
        <v>5301154049.250001</v>
      </c>
      <c r="AZ50" s="376">
        <f t="shared" si="58"/>
        <v>5480085542.1159086</v>
      </c>
      <c r="BA50" s="376">
        <f t="shared" si="58"/>
        <v>5585856504.8616076</v>
      </c>
      <c r="BB50" s="376">
        <f t="shared" si="58"/>
        <v>6070028497.0500002</v>
      </c>
      <c r="BC50" s="376">
        <f t="shared" si="58"/>
        <v>6123482499.686141</v>
      </c>
      <c r="BD50" s="376">
        <f t="shared" si="58"/>
        <v>4523333794.5044641</v>
      </c>
      <c r="BE50" s="376">
        <f t="shared" si="58"/>
        <v>4003700447.585</v>
      </c>
      <c r="BF50" s="376">
        <f t="shared" si="58"/>
        <v>4013095905.3272724</v>
      </c>
      <c r="BG50" s="376">
        <f t="shared" si="58"/>
        <v>4432019025.375001</v>
      </c>
      <c r="BH50" s="376">
        <f t="shared" si="58"/>
        <v>4613015941.6071415</v>
      </c>
      <c r="BI50" s="376">
        <f t="shared" si="58"/>
        <v>4906176217.2910719</v>
      </c>
      <c r="BJ50" s="376">
        <f t="shared" si="58"/>
        <v>4660164889.8348217</v>
      </c>
      <c r="BK50" s="376">
        <f t="shared" si="58"/>
        <v>3984847144.1771054</v>
      </c>
      <c r="BL50" s="376">
        <f t="shared" si="58"/>
        <v>4267416052.9891305</v>
      </c>
      <c r="BM50" s="376">
        <f t="shared" si="58"/>
        <v>3976574785.96875</v>
      </c>
      <c r="BN50" s="376">
        <f t="shared" si="58"/>
        <v>4239359042.6407146</v>
      </c>
      <c r="BO50" s="376">
        <f t="shared" si="58"/>
        <v>4238805489.9011359</v>
      </c>
      <c r="BP50" s="376">
        <f t="shared" si="58"/>
        <v>4549263022.8776789</v>
      </c>
      <c r="BQ50" s="376">
        <f t="shared" si="58"/>
        <v>4741876996.3342857</v>
      </c>
      <c r="BR50" s="376">
        <f t="shared" si="58"/>
        <v>4638839430.4035721</v>
      </c>
      <c r="BS50" s="376">
        <f t="shared" si="59"/>
        <v>4091385563.8625002</v>
      </c>
      <c r="BT50" s="376">
        <f t="shared" si="59"/>
        <v>2335317260.2022724</v>
      </c>
      <c r="BU50" s="376">
        <f t="shared" si="59"/>
        <v>1064039875.8071429</v>
      </c>
      <c r="BV50" s="376">
        <f t="shared" si="59"/>
        <v>1874676662.3499999</v>
      </c>
      <c r="BW50" s="376">
        <f t="shared" si="59"/>
        <v>3235605643.9852271</v>
      </c>
      <c r="BX50" s="376">
        <f t="shared" si="59"/>
        <v>3561789797.5571427</v>
      </c>
      <c r="BY50" s="376">
        <f t="shared" si="59"/>
        <v>3543766263.3800001</v>
      </c>
      <c r="BZ50" s="376">
        <f t="shared" si="59"/>
        <v>3498713090.2909088</v>
      </c>
      <c r="CA50" s="376">
        <f t="shared" si="59"/>
        <v>3467250821.713068</v>
      </c>
      <c r="CB50" s="376">
        <f t="shared" si="59"/>
        <v>3408647090.8607144</v>
      </c>
      <c r="CC50" s="376">
        <f t="shared" si="59"/>
        <v>3910696446.8625002</v>
      </c>
      <c r="CD50" s="376">
        <f t="shared" si="59"/>
        <v>4560981456.9399996</v>
      </c>
      <c r="CE50" s="376">
        <f t="shared" si="59"/>
        <v>5025259579.7467108</v>
      </c>
      <c r="CF50" s="376">
        <f t="shared" si="59"/>
        <v>5206368192.8035326</v>
      </c>
      <c r="CG50" s="376">
        <f t="shared" si="59"/>
        <v>5102634523.2196436</v>
      </c>
      <c r="CH50" s="376">
        <f t="shared" si="59"/>
        <v>5339362051.5865784</v>
      </c>
      <c r="CI50" s="376">
        <f t="shared" si="59"/>
        <v>5801633536.2488642</v>
      </c>
      <c r="CJ50" s="376">
        <f t="shared" si="59"/>
        <v>6239286753.0973196</v>
      </c>
      <c r="CK50" s="376">
        <f t="shared" si="59"/>
        <v>5821626795.3528566</v>
      </c>
      <c r="CL50" s="382">
        <f t="shared" si="59"/>
        <v>6157013065.3005676</v>
      </c>
      <c r="CM50" s="319">
        <f t="shared" si="15"/>
        <v>4110606681.0061455</v>
      </c>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490"/>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row>
    <row r="51" spans="1:178">
      <c r="A51" s="463" t="s">
        <v>330</v>
      </c>
      <c r="B51" s="52" t="s">
        <v>309</v>
      </c>
      <c r="C51" s="362" t="s">
        <v>323</v>
      </c>
      <c r="D51" s="362"/>
      <c r="E51" s="58"/>
      <c r="F51" s="382" t="s">
        <v>331</v>
      </c>
      <c r="G51" s="464">
        <f t="shared" ref="G51:BR51" si="60">G47*$CO$5+G48*$CP$5+G49*$CQ$5+G50*$CR$5</f>
        <v>5594282374.3176212</v>
      </c>
      <c r="H51" s="464">
        <f t="shared" si="60"/>
        <v>5173563357.4122429</v>
      </c>
      <c r="I51" s="464">
        <f t="shared" si="60"/>
        <v>4499563346.4549847</v>
      </c>
      <c r="J51" s="464">
        <f t="shared" si="60"/>
        <v>3791206306.3406239</v>
      </c>
      <c r="K51" s="464">
        <f t="shared" si="60"/>
        <v>4323782384.9218655</v>
      </c>
      <c r="L51" s="464">
        <f t="shared" si="60"/>
        <v>4360509442.5437088</v>
      </c>
      <c r="M51" s="464">
        <f t="shared" si="60"/>
        <v>4462992943.4774351</v>
      </c>
      <c r="N51" s="464">
        <f t="shared" si="60"/>
        <v>4667359984.0741329</v>
      </c>
      <c r="O51" s="464">
        <f t="shared" si="60"/>
        <v>4454210585.0342875</v>
      </c>
      <c r="P51" s="464">
        <f t="shared" si="60"/>
        <v>4066167872.3315058</v>
      </c>
      <c r="Q51" s="464">
        <f t="shared" si="60"/>
        <v>3797702169.0856609</v>
      </c>
      <c r="R51" s="464">
        <f t="shared" si="60"/>
        <v>3869807508.529511</v>
      </c>
      <c r="S51" s="464">
        <f t="shared" si="60"/>
        <v>3981360802.4064398</v>
      </c>
      <c r="T51" s="464">
        <f t="shared" si="60"/>
        <v>4095268304.2977943</v>
      </c>
      <c r="U51" s="464">
        <f t="shared" si="60"/>
        <v>3892367900.7203512</v>
      </c>
      <c r="V51" s="464">
        <f t="shared" si="60"/>
        <v>3353245869.6776018</v>
      </c>
      <c r="W51" s="464">
        <f t="shared" si="60"/>
        <v>3178934759.169457</v>
      </c>
      <c r="X51" s="464">
        <f t="shared" si="60"/>
        <v>3373516241.3028793</v>
      </c>
      <c r="Y51" s="464">
        <f t="shared" si="60"/>
        <v>3455822086.85496</v>
      </c>
      <c r="Z51" s="464">
        <f t="shared" si="60"/>
        <v>3589878723.4430246</v>
      </c>
      <c r="AA51" s="464">
        <f t="shared" si="60"/>
        <v>3666541486.6940279</v>
      </c>
      <c r="AB51" s="464">
        <f t="shared" si="60"/>
        <v>3405542238.0561752</v>
      </c>
      <c r="AC51" s="464">
        <f t="shared" si="60"/>
        <v>3307085725.5323453</v>
      </c>
      <c r="AD51" s="464">
        <f t="shared" si="60"/>
        <v>3454664532.0207701</v>
      </c>
      <c r="AE51" s="464">
        <f t="shared" si="60"/>
        <v>3681623481.3937283</v>
      </c>
      <c r="AF51" s="464">
        <f t="shared" si="60"/>
        <v>3770997895.1783848</v>
      </c>
      <c r="AG51" s="464">
        <f t="shared" si="60"/>
        <v>3977420039.2125702</v>
      </c>
      <c r="AH51" s="464">
        <f t="shared" si="60"/>
        <v>4266304459.5690961</v>
      </c>
      <c r="AI51" s="464">
        <f t="shared" si="60"/>
        <v>4370840803.2461662</v>
      </c>
      <c r="AJ51" s="464">
        <f t="shared" si="60"/>
        <v>4018982038.4353666</v>
      </c>
      <c r="AK51" s="464">
        <f t="shared" si="60"/>
        <v>3901765050.0365887</v>
      </c>
      <c r="AL51" s="464">
        <f t="shared" si="60"/>
        <v>3641843692.4946337</v>
      </c>
      <c r="AM51" s="464">
        <f t="shared" si="60"/>
        <v>3478846357.8117657</v>
      </c>
      <c r="AN51" s="464">
        <f t="shared" si="60"/>
        <v>3476404075.0547767</v>
      </c>
      <c r="AO51" s="464">
        <f t="shared" si="60"/>
        <v>3781618417.4022398</v>
      </c>
      <c r="AP51" s="464">
        <f t="shared" si="60"/>
        <v>4099675179.4050322</v>
      </c>
      <c r="AQ51" s="464">
        <f t="shared" si="60"/>
        <v>4436048510.6458359</v>
      </c>
      <c r="AR51" s="464">
        <f t="shared" si="60"/>
        <v>4720888962.9012012</v>
      </c>
      <c r="AS51" s="464">
        <f t="shared" si="60"/>
        <v>4701435321.9240646</v>
      </c>
      <c r="AT51" s="464">
        <f t="shared" si="60"/>
        <v>4745835924.6629524</v>
      </c>
      <c r="AU51" s="376">
        <f t="shared" si="60"/>
        <v>4486923886.8557119</v>
      </c>
      <c r="AV51" s="376">
        <f t="shared" si="60"/>
        <v>4506211810.4702911</v>
      </c>
      <c r="AW51" s="376">
        <f t="shared" si="60"/>
        <v>4739885114.7518253</v>
      </c>
      <c r="AX51" s="376">
        <f t="shared" si="60"/>
        <v>5238519297.3539562</v>
      </c>
      <c r="AY51" s="376">
        <f t="shared" si="60"/>
        <v>5199344284.8259525</v>
      </c>
      <c r="AZ51" s="376">
        <f t="shared" si="60"/>
        <v>5325703404.1026039</v>
      </c>
      <c r="BA51" s="376">
        <f t="shared" si="60"/>
        <v>5458756555.372776</v>
      </c>
      <c r="BB51" s="376">
        <f t="shared" si="60"/>
        <v>5856158453.1712103</v>
      </c>
      <c r="BC51" s="376">
        <f t="shared" si="60"/>
        <v>6038736307.0417175</v>
      </c>
      <c r="BD51" s="376">
        <f t="shared" si="60"/>
        <v>4786055819.7204552</v>
      </c>
      <c r="BE51" s="376">
        <f t="shared" si="60"/>
        <v>4280751678.7648573</v>
      </c>
      <c r="BF51" s="376">
        <f t="shared" si="60"/>
        <v>4276641211.1479983</v>
      </c>
      <c r="BG51" s="376">
        <f t="shared" si="60"/>
        <v>4584043640.8679075</v>
      </c>
      <c r="BH51" s="376">
        <f t="shared" si="60"/>
        <v>4747323026.0497227</v>
      </c>
      <c r="BI51" s="376">
        <f t="shared" si="60"/>
        <v>5017833990.5048256</v>
      </c>
      <c r="BJ51" s="376">
        <f t="shared" si="60"/>
        <v>4880726027.8952904</v>
      </c>
      <c r="BK51" s="376">
        <f t="shared" si="60"/>
        <v>4280917416.4015627</v>
      </c>
      <c r="BL51" s="376">
        <f t="shared" si="60"/>
        <v>4355289119.4054499</v>
      </c>
      <c r="BM51" s="376">
        <f t="shared" si="60"/>
        <v>4210545392.0537095</v>
      </c>
      <c r="BN51" s="376">
        <f t="shared" si="60"/>
        <v>4349556269.2561655</v>
      </c>
      <c r="BO51" s="376">
        <f t="shared" si="60"/>
        <v>4395197291.0926237</v>
      </c>
      <c r="BP51" s="376">
        <f t="shared" si="60"/>
        <v>4618510187.4915981</v>
      </c>
      <c r="BQ51" s="376">
        <f t="shared" si="60"/>
        <v>4748851741.0613098</v>
      </c>
      <c r="BR51" s="376">
        <f t="shared" si="60"/>
        <v>4904401523.92309</v>
      </c>
      <c r="BS51" s="376">
        <f t="shared" ref="BS51:CL51" si="61">BS47*$CO$5+BS48*$CP$5+BS49*$CQ$5+BS50*$CR$5</f>
        <v>4481583234.818491</v>
      </c>
      <c r="BT51" s="376">
        <f t="shared" si="61"/>
        <v>3317654451.0860386</v>
      </c>
      <c r="BU51" s="376">
        <f t="shared" si="61"/>
        <v>2012234453.5714238</v>
      </c>
      <c r="BV51" s="376">
        <f t="shared" si="61"/>
        <v>2706497274.4883175</v>
      </c>
      <c r="BW51" s="376">
        <f t="shared" si="61"/>
        <v>3560603996.9947805</v>
      </c>
      <c r="BX51" s="376">
        <f t="shared" si="61"/>
        <v>3771052562.3817701</v>
      </c>
      <c r="BY51" s="376">
        <f t="shared" si="61"/>
        <v>3760825404.2989883</v>
      </c>
      <c r="BZ51" s="376">
        <f t="shared" si="61"/>
        <v>3726781780.0208316</v>
      </c>
      <c r="CA51" s="376">
        <f t="shared" si="61"/>
        <v>3637178006.4173012</v>
      </c>
      <c r="CB51" s="376">
        <f t="shared" si="61"/>
        <v>3706931532.4413023</v>
      </c>
      <c r="CC51" s="376">
        <f t="shared" si="61"/>
        <v>4047114336.8817959</v>
      </c>
      <c r="CD51" s="376">
        <f t="shared" si="61"/>
        <v>4602148082.2619419</v>
      </c>
      <c r="CE51" s="376">
        <f t="shared" si="61"/>
        <v>4986842577.2352552</v>
      </c>
      <c r="CF51" s="376">
        <f t="shared" si="61"/>
        <v>5124761616.9736929</v>
      </c>
      <c r="CG51" s="376">
        <f t="shared" si="61"/>
        <v>4976278553.0529375</v>
      </c>
      <c r="CH51" s="376">
        <f t="shared" si="61"/>
        <v>4989506880.9188747</v>
      </c>
      <c r="CI51" s="376">
        <f t="shared" si="61"/>
        <v>5362951372.9011879</v>
      </c>
      <c r="CJ51" s="376">
        <f t="shared" si="61"/>
        <v>5810373283.5208158</v>
      </c>
      <c r="CK51" s="376">
        <f t="shared" si="61"/>
        <v>5607593086.7550402</v>
      </c>
      <c r="CL51" s="382">
        <f t="shared" si="61"/>
        <v>5823493600.0839357</v>
      </c>
      <c r="CM51" s="319">
        <f t="shared" si="15"/>
        <v>4311728532.0328703</v>
      </c>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row>
    <row r="52" spans="1:178">
      <c r="A52" s="463" t="s">
        <v>332</v>
      </c>
      <c r="B52" s="52" t="s">
        <v>309</v>
      </c>
      <c r="C52" s="362" t="s">
        <v>323</v>
      </c>
      <c r="D52" s="362"/>
      <c r="E52" s="58"/>
      <c r="F52" s="382" t="s">
        <v>333</v>
      </c>
      <c r="G52" s="464">
        <f t="shared" ref="G52:BR52" si="62">$CO$6*G47+G48*$CP$6+G49*$CQ$6+G50*$CR$6</f>
        <v>2719449412.2546101</v>
      </c>
      <c r="H52" s="464">
        <f t="shared" si="62"/>
        <v>2392943758.0030341</v>
      </c>
      <c r="I52" s="464">
        <f t="shared" si="62"/>
        <v>1982015424.1228628</v>
      </c>
      <c r="J52" s="464">
        <f t="shared" si="62"/>
        <v>1562390716.7049241</v>
      </c>
      <c r="K52" s="464">
        <f t="shared" si="62"/>
        <v>1882745908.7608635</v>
      </c>
      <c r="L52" s="464">
        <f t="shared" si="62"/>
        <v>1896582339.1168604</v>
      </c>
      <c r="M52" s="464">
        <f t="shared" si="62"/>
        <v>1960561033.7437599</v>
      </c>
      <c r="N52" s="464">
        <f t="shared" si="62"/>
        <v>2076679512.0642092</v>
      </c>
      <c r="O52" s="464">
        <f t="shared" si="62"/>
        <v>1983494703.2530849</v>
      </c>
      <c r="P52" s="464">
        <f t="shared" si="62"/>
        <v>1750421218.8174043</v>
      </c>
      <c r="Q52" s="464">
        <f t="shared" si="62"/>
        <v>1580187864.148921</v>
      </c>
      <c r="R52" s="464">
        <f t="shared" si="62"/>
        <v>1617107936.1716404</v>
      </c>
      <c r="S52" s="464">
        <f t="shared" si="62"/>
        <v>1689167417.3447528</v>
      </c>
      <c r="T52" s="464">
        <f t="shared" si="62"/>
        <v>1752861736.5507257</v>
      </c>
      <c r="U52" s="464">
        <f t="shared" si="62"/>
        <v>1700112534.9154286</v>
      </c>
      <c r="V52" s="464">
        <f t="shared" si="62"/>
        <v>1373564937.8245227</v>
      </c>
      <c r="W52" s="464">
        <f t="shared" si="62"/>
        <v>1265616456.0618873</v>
      </c>
      <c r="X52" s="464">
        <f t="shared" si="62"/>
        <v>1390396043.7893007</v>
      </c>
      <c r="Y52" s="464">
        <f t="shared" si="62"/>
        <v>1507445765.1164412</v>
      </c>
      <c r="Z52" s="464">
        <f t="shared" si="62"/>
        <v>1588306290.8638322</v>
      </c>
      <c r="AA52" s="464">
        <f t="shared" si="62"/>
        <v>1631848878.2408819</v>
      </c>
      <c r="AB52" s="464">
        <f t="shared" si="62"/>
        <v>1474729578.7147505</v>
      </c>
      <c r="AC52" s="464">
        <f t="shared" si="62"/>
        <v>1414762278.6811533</v>
      </c>
      <c r="AD52" s="464">
        <f t="shared" si="62"/>
        <v>1505793824.4488356</v>
      </c>
      <c r="AE52" s="464">
        <f t="shared" si="62"/>
        <v>1692494900.286974</v>
      </c>
      <c r="AF52" s="464">
        <f t="shared" si="62"/>
        <v>1742652383.0486789</v>
      </c>
      <c r="AG52" s="464">
        <f t="shared" si="62"/>
        <v>1867583927.3867893</v>
      </c>
      <c r="AH52" s="464">
        <f t="shared" si="62"/>
        <v>2041908157.3656535</v>
      </c>
      <c r="AI52" s="464">
        <f t="shared" si="62"/>
        <v>2109651194.0139375</v>
      </c>
      <c r="AJ52" s="464">
        <f t="shared" si="62"/>
        <v>1904157314.6611683</v>
      </c>
      <c r="AK52" s="464">
        <f t="shared" si="62"/>
        <v>1835740960.9380231</v>
      </c>
      <c r="AL52" s="464">
        <f t="shared" si="62"/>
        <v>1675792191.5914035</v>
      </c>
      <c r="AM52" s="464">
        <f t="shared" si="62"/>
        <v>1577397327.5837631</v>
      </c>
      <c r="AN52" s="464">
        <f t="shared" si="62"/>
        <v>1578208634.8215792</v>
      </c>
      <c r="AO52" s="464">
        <f t="shared" si="62"/>
        <v>1763199425.1270843</v>
      </c>
      <c r="AP52" s="464">
        <f t="shared" si="62"/>
        <v>1951375591.4416351</v>
      </c>
      <c r="AQ52" s="464">
        <f t="shared" si="62"/>
        <v>2114799157.345376</v>
      </c>
      <c r="AR52" s="464">
        <f t="shared" si="62"/>
        <v>2286987047.4626584</v>
      </c>
      <c r="AS52" s="464">
        <f t="shared" si="62"/>
        <v>2276920666.4795094</v>
      </c>
      <c r="AT52" s="464">
        <f t="shared" si="62"/>
        <v>2304393636.6116586</v>
      </c>
      <c r="AU52" s="376">
        <f t="shared" si="62"/>
        <v>2145777714.7147787</v>
      </c>
      <c r="AV52" s="376">
        <f t="shared" si="62"/>
        <v>2156673923.3969927</v>
      </c>
      <c r="AW52" s="376">
        <f t="shared" si="62"/>
        <v>2279782112.2117043</v>
      </c>
      <c r="AX52" s="376">
        <f t="shared" si="62"/>
        <v>2574338501.3820534</v>
      </c>
      <c r="AY52" s="376">
        <f t="shared" si="62"/>
        <v>2547537715.8744478</v>
      </c>
      <c r="AZ52" s="376">
        <f t="shared" si="62"/>
        <v>2622118375.2397747</v>
      </c>
      <c r="BA52" s="376">
        <f t="shared" si="62"/>
        <v>2696336101.1449442</v>
      </c>
      <c r="BB52" s="376">
        <f t="shared" si="62"/>
        <v>2926964404.0568633</v>
      </c>
      <c r="BC52" s="376">
        <f t="shared" si="62"/>
        <v>3000854789.7024574</v>
      </c>
      <c r="BD52" s="376">
        <f t="shared" si="62"/>
        <v>2255410689.9339762</v>
      </c>
      <c r="BE52" s="376">
        <f t="shared" si="62"/>
        <v>1954246474.8520045</v>
      </c>
      <c r="BF52" s="376">
        <f t="shared" si="62"/>
        <v>1951214297.407954</v>
      </c>
      <c r="BG52" s="376">
        <f t="shared" si="62"/>
        <v>2138730855.13256</v>
      </c>
      <c r="BH52" s="376">
        <f t="shared" si="62"/>
        <v>2244801748.9080849</v>
      </c>
      <c r="BI52" s="376">
        <f t="shared" si="62"/>
        <v>2375887785.7800608</v>
      </c>
      <c r="BJ52" s="376">
        <f t="shared" si="62"/>
        <v>2289802196.3781495</v>
      </c>
      <c r="BK52" s="376">
        <f t="shared" si="62"/>
        <v>1930881577.1832635</v>
      </c>
      <c r="BL52" s="376">
        <f t="shared" si="62"/>
        <v>1977452552.1136813</v>
      </c>
      <c r="BM52" s="376">
        <f t="shared" si="62"/>
        <v>1879594351.8781304</v>
      </c>
      <c r="BN52" s="376">
        <f t="shared" si="62"/>
        <v>1966486651.6041799</v>
      </c>
      <c r="BO52" s="376">
        <f t="shared" si="62"/>
        <v>2037416034.0033569</v>
      </c>
      <c r="BP52" s="376">
        <f t="shared" si="62"/>
        <v>2168705047.7365303</v>
      </c>
      <c r="BQ52" s="376">
        <f t="shared" si="62"/>
        <v>2248766280.9170475</v>
      </c>
      <c r="BR52" s="376">
        <f t="shared" si="62"/>
        <v>2341569272.2051468</v>
      </c>
      <c r="BS52" s="376">
        <f t="shared" ref="BS52:CL52" si="63">$CO$6*BS47+BS48*$CP$6+BS49*$CQ$6+BS50*$CR$6</f>
        <v>2085826001.7917588</v>
      </c>
      <c r="BT52" s="376">
        <f t="shared" si="63"/>
        <v>1372147962.4409654</v>
      </c>
      <c r="BU52" s="376">
        <f t="shared" si="63"/>
        <v>665438392.58882618</v>
      </c>
      <c r="BV52" s="376">
        <f t="shared" si="63"/>
        <v>1082909317.1692023</v>
      </c>
      <c r="BW52" s="376">
        <f t="shared" si="63"/>
        <v>1596465613.0554061</v>
      </c>
      <c r="BX52" s="376">
        <f t="shared" si="63"/>
        <v>1725547864.2143292</v>
      </c>
      <c r="BY52" s="376">
        <f t="shared" si="63"/>
        <v>1721581992.7869358</v>
      </c>
      <c r="BZ52" s="376">
        <f t="shared" si="63"/>
        <v>1704338015.0813341</v>
      </c>
      <c r="CA52" s="376">
        <f t="shared" si="63"/>
        <v>1709617999.6308484</v>
      </c>
      <c r="CB52" s="376">
        <f t="shared" si="63"/>
        <v>1750300848.378644</v>
      </c>
      <c r="CC52" s="376">
        <f t="shared" si="63"/>
        <v>1956566288.0774102</v>
      </c>
      <c r="CD52" s="376">
        <f t="shared" si="63"/>
        <v>2288612396.1291871</v>
      </c>
      <c r="CE52" s="376">
        <f t="shared" si="63"/>
        <v>2519691320.204751</v>
      </c>
      <c r="CF52" s="376">
        <f t="shared" si="63"/>
        <v>2602522301.6545215</v>
      </c>
      <c r="CG52" s="376">
        <f t="shared" si="63"/>
        <v>2509457095.5634456</v>
      </c>
      <c r="CH52" s="376">
        <f t="shared" si="63"/>
        <v>2523366271.3621449</v>
      </c>
      <c r="CI52" s="376">
        <f t="shared" si="63"/>
        <v>2746482252.1657815</v>
      </c>
      <c r="CJ52" s="376">
        <f t="shared" si="63"/>
        <v>3014111894.7936287</v>
      </c>
      <c r="CK52" s="376">
        <f t="shared" si="63"/>
        <v>2892302473.9612589</v>
      </c>
      <c r="CL52" s="382">
        <f t="shared" si="63"/>
        <v>3023060809.7565975</v>
      </c>
      <c r="CM52" s="319">
        <f t="shared" si="15"/>
        <v>2007430293.4576867</v>
      </c>
      <c r="CN52" s="58"/>
      <c r="CO52" s="58"/>
      <c r="CP52" s="58"/>
      <c r="CQ52" s="58"/>
      <c r="CR52" s="58"/>
      <c r="CS52" s="58"/>
      <c r="CT52" s="58"/>
      <c r="CU52" s="58"/>
      <c r="CV52" s="58"/>
      <c r="CW52" s="58"/>
      <c r="CX52" s="58"/>
      <c r="CY52" s="58"/>
      <c r="CZ52" s="58"/>
      <c r="DA52" s="58"/>
      <c r="DB52" s="58"/>
      <c r="DC52" s="58"/>
      <c r="DD52" s="58"/>
      <c r="DE52" s="58"/>
      <c r="DF52" s="58"/>
      <c r="DG52" s="58"/>
      <c r="DH52" s="58"/>
      <c r="DI52" s="58"/>
      <c r="DJ52" s="58"/>
      <c r="DK52" s="58"/>
      <c r="DL52" s="58"/>
      <c r="DM52" s="58"/>
      <c r="DN52" s="58"/>
      <c r="DO52" s="58"/>
      <c r="DP52" s="58"/>
      <c r="DQ52" s="58"/>
      <c r="DR52" s="58"/>
      <c r="DS52" s="58"/>
      <c r="DT52" s="58"/>
      <c r="DU52" s="58"/>
      <c r="DV52" s="58"/>
      <c r="DW52" s="58"/>
      <c r="DX52" s="58"/>
      <c r="DY52" s="58"/>
      <c r="DZ52" s="58"/>
      <c r="EA52" s="58"/>
      <c r="EB52" s="58"/>
      <c r="EC52" s="58"/>
      <c r="ED52" s="58"/>
      <c r="EE52" s="58"/>
      <c r="EF52" s="58"/>
      <c r="EG52" s="58"/>
      <c r="EH52" s="58"/>
      <c r="EI52" s="58"/>
      <c r="EJ52" s="58"/>
      <c r="EK52" s="58"/>
      <c r="EL52" s="58"/>
      <c r="EM52" s="58"/>
      <c r="EN52" s="58"/>
      <c r="EO52" s="58"/>
      <c r="EP52" s="58"/>
      <c r="EQ52" s="58"/>
      <c r="ER52" s="58"/>
      <c r="ES52" s="58"/>
      <c r="ET52" s="58"/>
      <c r="EU52" s="58"/>
      <c r="EV52" s="58"/>
      <c r="EW52" s="58"/>
      <c r="EX52" s="58"/>
      <c r="EY52" s="58"/>
      <c r="EZ52" s="58"/>
      <c r="FA52" s="58"/>
      <c r="FB52" s="58"/>
      <c r="FC52" s="58"/>
      <c r="FD52" s="58"/>
      <c r="FE52" s="58"/>
      <c r="FF52" s="58"/>
      <c r="FG52" s="58"/>
      <c r="FH52" s="58"/>
      <c r="FI52" s="58"/>
      <c r="FJ52" s="58"/>
      <c r="FK52" s="58"/>
      <c r="FL52" s="58"/>
      <c r="FM52" s="58"/>
      <c r="FN52" s="58"/>
      <c r="FO52" s="58"/>
      <c r="FP52" s="58"/>
      <c r="FQ52" s="58"/>
      <c r="FR52" s="58"/>
      <c r="FS52" s="58"/>
      <c r="FT52" s="58"/>
      <c r="FU52" s="58"/>
      <c r="FV52" s="58"/>
    </row>
    <row r="53" spans="1:178" s="314" customFormat="1">
      <c r="A53" s="463" t="s">
        <v>334</v>
      </c>
      <c r="B53" s="52" t="s">
        <v>309</v>
      </c>
      <c r="C53" s="463"/>
      <c r="D53" s="463"/>
      <c r="E53" s="17"/>
      <c r="F53" s="382" t="s">
        <v>335</v>
      </c>
      <c r="G53" s="465">
        <f t="shared" ref="G53:BR53" si="64">G51/(G3*G13+G14*G4+G5*G15+G16*G6)</f>
        <v>0.67289666276618654</v>
      </c>
      <c r="H53" s="465">
        <f t="shared" si="64"/>
        <v>0.68374525768595662</v>
      </c>
      <c r="I53" s="465">
        <f t="shared" si="64"/>
        <v>0.6942079246001106</v>
      </c>
      <c r="J53" s="465">
        <f t="shared" si="64"/>
        <v>0.7081605675624586</v>
      </c>
      <c r="K53" s="465">
        <f t="shared" si="64"/>
        <v>0.69665071684645297</v>
      </c>
      <c r="L53" s="465">
        <f t="shared" si="64"/>
        <v>0.69689075927003163</v>
      </c>
      <c r="M53" s="465">
        <f t="shared" si="64"/>
        <v>0.69478562168292213</v>
      </c>
      <c r="N53" s="465">
        <f t="shared" si="64"/>
        <v>0.6920718638653699</v>
      </c>
      <c r="O53" s="465">
        <f t="shared" si="64"/>
        <v>0.69189414326533183</v>
      </c>
      <c r="P53" s="465">
        <f t="shared" si="64"/>
        <v>0.69906397179044055</v>
      </c>
      <c r="Q53" s="465">
        <f t="shared" si="64"/>
        <v>0.70616954709308144</v>
      </c>
      <c r="R53" s="465">
        <f t="shared" si="64"/>
        <v>0.70527923157020389</v>
      </c>
      <c r="S53" s="465">
        <f t="shared" si="64"/>
        <v>0.70211462638327748</v>
      </c>
      <c r="T53" s="465">
        <f t="shared" si="64"/>
        <v>0.70026970599025895</v>
      </c>
      <c r="U53" s="465">
        <f t="shared" si="64"/>
        <v>0.69600027134969278</v>
      </c>
      <c r="V53" s="465">
        <f t="shared" si="64"/>
        <v>0.70940979155660744</v>
      </c>
      <c r="W53" s="465">
        <f t="shared" si="64"/>
        <v>0.71524313822177199</v>
      </c>
      <c r="X53" s="465">
        <f t="shared" si="64"/>
        <v>0.70813987315839144</v>
      </c>
      <c r="Y53" s="465">
        <f t="shared" si="64"/>
        <v>0.6962795863379232</v>
      </c>
      <c r="Z53" s="465">
        <f t="shared" si="64"/>
        <v>0.6932696907361392</v>
      </c>
      <c r="AA53" s="465">
        <f t="shared" si="64"/>
        <v>0.69201044735386741</v>
      </c>
      <c r="AB53" s="465">
        <f t="shared" si="64"/>
        <v>0.697818147414068</v>
      </c>
      <c r="AC53" s="465">
        <f t="shared" si="64"/>
        <v>0.70037953838863443</v>
      </c>
      <c r="AD53" s="465">
        <f t="shared" si="64"/>
        <v>0.69644058749431381</v>
      </c>
      <c r="AE53" s="465">
        <f t="shared" si="64"/>
        <v>0.68506557167472315</v>
      </c>
      <c r="AF53" s="465">
        <f t="shared" si="64"/>
        <v>0.68393853525127168</v>
      </c>
      <c r="AG53" s="465">
        <f t="shared" si="64"/>
        <v>0.68048200855655616</v>
      </c>
      <c r="AH53" s="465">
        <f t="shared" si="64"/>
        <v>0.67630955369449075</v>
      </c>
      <c r="AI53" s="465">
        <f t="shared" si="64"/>
        <v>0.67446126082620272</v>
      </c>
      <c r="AJ53" s="465">
        <f t="shared" si="64"/>
        <v>0.67852228334528353</v>
      </c>
      <c r="AK53" s="465">
        <f t="shared" si="64"/>
        <v>0.680045483625351</v>
      </c>
      <c r="AL53" s="465">
        <f t="shared" si="64"/>
        <v>0.68486142561838304</v>
      </c>
      <c r="AM53" s="465">
        <f t="shared" si="64"/>
        <v>0.68802980518128054</v>
      </c>
      <c r="AN53" s="465">
        <f t="shared" si="64"/>
        <v>0.68776863324506121</v>
      </c>
      <c r="AO53" s="465">
        <f t="shared" si="64"/>
        <v>0.68200949513559073</v>
      </c>
      <c r="AP53" s="465">
        <f t="shared" si="64"/>
        <v>0.67751458955803856</v>
      </c>
      <c r="AQ53" s="465">
        <f t="shared" si="64"/>
        <v>0.67717167845640491</v>
      </c>
      <c r="AR53" s="465">
        <f t="shared" si="64"/>
        <v>0.67365475015818455</v>
      </c>
      <c r="AS53" s="465">
        <f t="shared" si="64"/>
        <v>0.6737167507270726</v>
      </c>
      <c r="AT53" s="465">
        <f t="shared" si="64"/>
        <v>0.67314629735332376</v>
      </c>
      <c r="AU53" s="466">
        <f t="shared" si="64"/>
        <v>0.67648511215901808</v>
      </c>
      <c r="AV53" s="466">
        <f t="shared" si="64"/>
        <v>0.67631533699660018</v>
      </c>
      <c r="AW53" s="466">
        <f t="shared" si="64"/>
        <v>0.67522931807155473</v>
      </c>
      <c r="AX53" s="466">
        <f t="shared" si="64"/>
        <v>0.67049976235347086</v>
      </c>
      <c r="AY53" s="466">
        <f t="shared" si="64"/>
        <v>0.67115315353401228</v>
      </c>
      <c r="AZ53" s="466">
        <f t="shared" si="64"/>
        <v>0.67008339542098605</v>
      </c>
      <c r="BA53" s="466">
        <f t="shared" si="64"/>
        <v>0.66936781533806655</v>
      </c>
      <c r="BB53" s="466">
        <f t="shared" si="64"/>
        <v>0.66675128520511162</v>
      </c>
      <c r="BC53" s="466">
        <f t="shared" si="64"/>
        <v>0.66803202074225598</v>
      </c>
      <c r="BD53" s="466">
        <f t="shared" si="64"/>
        <v>0.67969588624164845</v>
      </c>
      <c r="BE53" s="466">
        <f t="shared" si="64"/>
        <v>0.68656823519372423</v>
      </c>
      <c r="BF53" s="466">
        <f t="shared" si="64"/>
        <v>0.6866956378921546</v>
      </c>
      <c r="BG53" s="466">
        <f t="shared" si="64"/>
        <v>0.68186782757551367</v>
      </c>
      <c r="BH53" s="466">
        <f t="shared" si="64"/>
        <v>0.67895284750240581</v>
      </c>
      <c r="BI53" s="466">
        <f t="shared" si="64"/>
        <v>0.67866145661571409</v>
      </c>
      <c r="BJ53" s="466">
        <f t="shared" si="64"/>
        <v>0.68066478162281185</v>
      </c>
      <c r="BK53" s="466">
        <f t="shared" si="64"/>
        <v>0.68915903763509379</v>
      </c>
      <c r="BL53" s="466">
        <f t="shared" si="64"/>
        <v>0.6877414783857243</v>
      </c>
      <c r="BM53" s="466">
        <f t="shared" si="64"/>
        <v>0.69137089937042229</v>
      </c>
      <c r="BN53" s="466">
        <f t="shared" si="64"/>
        <v>0.68865210761799045</v>
      </c>
      <c r="BO53" s="466">
        <f t="shared" si="64"/>
        <v>0.68326775899078995</v>
      </c>
      <c r="BP53" s="466">
        <f t="shared" si="64"/>
        <v>0.68047203859394967</v>
      </c>
      <c r="BQ53" s="466">
        <f t="shared" si="64"/>
        <v>0.67863832037501248</v>
      </c>
      <c r="BR53" s="466">
        <f t="shared" si="64"/>
        <v>0.67684533403635505</v>
      </c>
      <c r="BS53" s="466">
        <f t="shared" ref="BS53:CL53" si="65">BS51/(BS3*BS13+BS14*BS4+BS5*BS15+BS16*BS6)</f>
        <v>0.68239743761295557</v>
      </c>
      <c r="BT53" s="466">
        <f t="shared" si="65"/>
        <v>0.7074188118281447</v>
      </c>
      <c r="BU53" s="466">
        <f t="shared" si="65"/>
        <v>0.75148629768455233</v>
      </c>
      <c r="BV53" s="466">
        <f t="shared" si="65"/>
        <v>0.71422720392336458</v>
      </c>
      <c r="BW53" s="466">
        <f t="shared" si="65"/>
        <v>0.69043163389840889</v>
      </c>
      <c r="BX53" s="466">
        <f t="shared" si="65"/>
        <v>0.68606998320907309</v>
      </c>
      <c r="BY53" s="466">
        <f t="shared" si="65"/>
        <v>0.6859806526413903</v>
      </c>
      <c r="BZ53" s="466">
        <f t="shared" si="65"/>
        <v>0.6861903107682652</v>
      </c>
      <c r="CA53" s="466">
        <f t="shared" si="65"/>
        <v>0.68025374491621249</v>
      </c>
      <c r="CB53" s="466">
        <f t="shared" si="65"/>
        <v>0.67926950398332453</v>
      </c>
      <c r="CC53" s="466">
        <f t="shared" si="65"/>
        <v>0.67410553453770627</v>
      </c>
      <c r="CD53" s="466">
        <f t="shared" si="65"/>
        <v>0.66787230476141324</v>
      </c>
      <c r="CE53" s="466">
        <f t="shared" si="65"/>
        <v>0.66433358529639697</v>
      </c>
      <c r="CF53" s="466">
        <f t="shared" si="65"/>
        <v>0.6632034840365314</v>
      </c>
      <c r="CG53" s="466">
        <f t="shared" si="65"/>
        <v>0.66476813858270856</v>
      </c>
      <c r="CH53" s="466">
        <f t="shared" si="65"/>
        <v>0.66412766191906047</v>
      </c>
      <c r="CI53" s="466">
        <f t="shared" si="65"/>
        <v>0.6613225560320064</v>
      </c>
      <c r="CJ53" s="466">
        <f t="shared" si="65"/>
        <v>0.65843765002851395</v>
      </c>
      <c r="CK53" s="466">
        <f t="shared" si="65"/>
        <v>0.65972493975943391</v>
      </c>
      <c r="CL53" s="467">
        <f t="shared" si="65"/>
        <v>0.65827816461583355</v>
      </c>
      <c r="CM53" s="468">
        <f t="shared" si="15"/>
        <v>0.68474952669400468</v>
      </c>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c r="FI53" s="17"/>
      <c r="FJ53" s="17"/>
      <c r="FK53" s="17"/>
      <c r="FL53" s="17"/>
      <c r="FM53" s="17"/>
      <c r="FN53" s="17"/>
      <c r="FO53" s="17"/>
      <c r="FP53" s="17"/>
      <c r="FQ53" s="17"/>
      <c r="FR53" s="17"/>
      <c r="FS53" s="17"/>
      <c r="FT53" s="17"/>
      <c r="FU53" s="17"/>
      <c r="FV53" s="17"/>
    </row>
    <row r="54" spans="1:178">
      <c r="A54" s="463" t="s">
        <v>334</v>
      </c>
      <c r="B54" s="52" t="s">
        <v>309</v>
      </c>
      <c r="C54" s="362"/>
      <c r="D54" s="362"/>
      <c r="E54" s="58"/>
      <c r="F54" s="382" t="s">
        <v>336</v>
      </c>
      <c r="G54" s="465">
        <f t="shared" ref="G54:BR54" si="66">G52/(G3*G13+G14*G4+G5*G15+G16*G6)</f>
        <v>0.3271033372338133</v>
      </c>
      <c r="H54" s="465">
        <f t="shared" si="66"/>
        <v>0.31625474231404338</v>
      </c>
      <c r="I54" s="465">
        <f t="shared" si="66"/>
        <v>0.30579207539988923</v>
      </c>
      <c r="J54" s="465">
        <f t="shared" si="66"/>
        <v>0.29183943243754146</v>
      </c>
      <c r="K54" s="465">
        <f t="shared" si="66"/>
        <v>0.30334928315354709</v>
      </c>
      <c r="L54" s="465">
        <f t="shared" si="66"/>
        <v>0.30310924072996842</v>
      </c>
      <c r="M54" s="465">
        <f t="shared" si="66"/>
        <v>0.30521437831707782</v>
      </c>
      <c r="N54" s="465">
        <f t="shared" si="66"/>
        <v>0.30792813613462999</v>
      </c>
      <c r="O54" s="465">
        <f t="shared" si="66"/>
        <v>0.30810585673466817</v>
      </c>
      <c r="P54" s="465">
        <f t="shared" si="66"/>
        <v>0.3009360282095595</v>
      </c>
      <c r="Q54" s="465">
        <f t="shared" si="66"/>
        <v>0.29383045290691873</v>
      </c>
      <c r="R54" s="465">
        <f t="shared" si="66"/>
        <v>0.29472076842979628</v>
      </c>
      <c r="S54" s="465">
        <f t="shared" si="66"/>
        <v>0.29788537361672263</v>
      </c>
      <c r="T54" s="465">
        <f t="shared" si="66"/>
        <v>0.29973029400974099</v>
      </c>
      <c r="U54" s="465">
        <f t="shared" si="66"/>
        <v>0.30399972865030711</v>
      </c>
      <c r="V54" s="465">
        <f t="shared" si="66"/>
        <v>0.29059020844339245</v>
      </c>
      <c r="W54" s="465">
        <f t="shared" si="66"/>
        <v>0.28475686177822801</v>
      </c>
      <c r="X54" s="465">
        <f t="shared" si="66"/>
        <v>0.2918601268416085</v>
      </c>
      <c r="Y54" s="465">
        <f t="shared" si="66"/>
        <v>0.3037204136620768</v>
      </c>
      <c r="Z54" s="465">
        <f t="shared" si="66"/>
        <v>0.30673030926386097</v>
      </c>
      <c r="AA54" s="465">
        <f t="shared" si="66"/>
        <v>0.30798955264613254</v>
      </c>
      <c r="AB54" s="465">
        <f t="shared" si="66"/>
        <v>0.30218185258593205</v>
      </c>
      <c r="AC54" s="465">
        <f t="shared" si="66"/>
        <v>0.29962046161136546</v>
      </c>
      <c r="AD54" s="465">
        <f t="shared" si="66"/>
        <v>0.3035594125056863</v>
      </c>
      <c r="AE54" s="465">
        <f t="shared" si="66"/>
        <v>0.31493442832527685</v>
      </c>
      <c r="AF54" s="465">
        <f t="shared" si="66"/>
        <v>0.31606146474872826</v>
      </c>
      <c r="AG54" s="465">
        <f t="shared" si="66"/>
        <v>0.31951799144344384</v>
      </c>
      <c r="AH54" s="465">
        <f t="shared" si="66"/>
        <v>0.32369044630550925</v>
      </c>
      <c r="AI54" s="465">
        <f t="shared" si="66"/>
        <v>0.32553873917379728</v>
      </c>
      <c r="AJ54" s="465">
        <f t="shared" si="66"/>
        <v>0.32147771665471647</v>
      </c>
      <c r="AK54" s="465">
        <f t="shared" si="66"/>
        <v>0.31995451637464889</v>
      </c>
      <c r="AL54" s="465">
        <f t="shared" si="66"/>
        <v>0.31513857438161708</v>
      </c>
      <c r="AM54" s="465">
        <f t="shared" si="66"/>
        <v>0.31197019481871946</v>
      </c>
      <c r="AN54" s="465">
        <f t="shared" si="66"/>
        <v>0.31223136675493873</v>
      </c>
      <c r="AO54" s="465">
        <f t="shared" si="66"/>
        <v>0.31799050486440922</v>
      </c>
      <c r="AP54" s="465">
        <f t="shared" si="66"/>
        <v>0.32248541044196155</v>
      </c>
      <c r="AQ54" s="465">
        <f t="shared" si="66"/>
        <v>0.32282832154359486</v>
      </c>
      <c r="AR54" s="465">
        <f t="shared" si="66"/>
        <v>0.3263452498418154</v>
      </c>
      <c r="AS54" s="465">
        <f t="shared" si="66"/>
        <v>0.32628324927292746</v>
      </c>
      <c r="AT54" s="465">
        <f t="shared" si="66"/>
        <v>0.32685370264667629</v>
      </c>
      <c r="AU54" s="466">
        <f t="shared" si="66"/>
        <v>0.32351488784098198</v>
      </c>
      <c r="AV54" s="466">
        <f t="shared" si="66"/>
        <v>0.32368466300339999</v>
      </c>
      <c r="AW54" s="466">
        <f t="shared" si="66"/>
        <v>0.32477068192844533</v>
      </c>
      <c r="AX54" s="466">
        <f t="shared" si="66"/>
        <v>0.32950023764652908</v>
      </c>
      <c r="AY54" s="466">
        <f t="shared" si="66"/>
        <v>0.32884684646598761</v>
      </c>
      <c r="AZ54" s="466">
        <f t="shared" si="66"/>
        <v>0.32991660457901395</v>
      </c>
      <c r="BA54" s="466">
        <f t="shared" si="66"/>
        <v>0.33063218466193345</v>
      </c>
      <c r="BB54" s="466">
        <f t="shared" si="66"/>
        <v>0.33324871479488838</v>
      </c>
      <c r="BC54" s="466">
        <f t="shared" si="66"/>
        <v>0.33196797925774396</v>
      </c>
      <c r="BD54" s="466">
        <f t="shared" si="66"/>
        <v>0.32030411375835166</v>
      </c>
      <c r="BE54" s="466">
        <f t="shared" si="66"/>
        <v>0.31343176480627588</v>
      </c>
      <c r="BF54" s="466">
        <f t="shared" si="66"/>
        <v>0.31330436210784546</v>
      </c>
      <c r="BG54" s="466">
        <f t="shared" si="66"/>
        <v>0.31813217242448638</v>
      </c>
      <c r="BH54" s="466">
        <f t="shared" si="66"/>
        <v>0.32104715249759402</v>
      </c>
      <c r="BI54" s="466">
        <f t="shared" si="66"/>
        <v>0.32133854338428597</v>
      </c>
      <c r="BJ54" s="466">
        <f t="shared" si="66"/>
        <v>0.31933521837718803</v>
      </c>
      <c r="BK54" s="466">
        <f t="shared" si="66"/>
        <v>0.31084096236490627</v>
      </c>
      <c r="BL54" s="466">
        <f t="shared" si="66"/>
        <v>0.31225852161427575</v>
      </c>
      <c r="BM54" s="466">
        <f t="shared" si="66"/>
        <v>0.30862910062957771</v>
      </c>
      <c r="BN54" s="466">
        <f t="shared" si="66"/>
        <v>0.31134789238200949</v>
      </c>
      <c r="BO54" s="466">
        <f t="shared" si="66"/>
        <v>0.31673224100921021</v>
      </c>
      <c r="BP54" s="466">
        <f t="shared" si="66"/>
        <v>0.31952796140605033</v>
      </c>
      <c r="BQ54" s="466">
        <f t="shared" si="66"/>
        <v>0.32136167962498746</v>
      </c>
      <c r="BR54" s="466">
        <f t="shared" si="66"/>
        <v>0.32315466596364495</v>
      </c>
      <c r="BS54" s="466">
        <f t="shared" ref="BS54:CL54" si="67">BS52/(BS3*BS13+BS14*BS4+BS5*BS15+BS16*BS6)</f>
        <v>0.31760256238704443</v>
      </c>
      <c r="BT54" s="466">
        <f t="shared" si="67"/>
        <v>0.29258118817185524</v>
      </c>
      <c r="BU54" s="466">
        <f t="shared" si="67"/>
        <v>0.24851370231544781</v>
      </c>
      <c r="BV54" s="466">
        <f t="shared" si="67"/>
        <v>0.28577279607663536</v>
      </c>
      <c r="BW54" s="466">
        <f t="shared" si="67"/>
        <v>0.30956836610159116</v>
      </c>
      <c r="BX54" s="466">
        <f t="shared" si="67"/>
        <v>0.31393001679092686</v>
      </c>
      <c r="BY54" s="466">
        <f t="shared" si="67"/>
        <v>0.31401934735860965</v>
      </c>
      <c r="BZ54" s="466">
        <f t="shared" si="67"/>
        <v>0.31380968923173491</v>
      </c>
      <c r="CA54" s="466">
        <f t="shared" si="67"/>
        <v>0.31974625508378762</v>
      </c>
      <c r="CB54" s="466">
        <f t="shared" si="67"/>
        <v>0.32073049601667541</v>
      </c>
      <c r="CC54" s="466">
        <f t="shared" si="67"/>
        <v>0.32589446546229378</v>
      </c>
      <c r="CD54" s="466">
        <f t="shared" si="67"/>
        <v>0.33212769523858671</v>
      </c>
      <c r="CE54" s="466">
        <f t="shared" si="67"/>
        <v>0.33566641470360309</v>
      </c>
      <c r="CF54" s="466">
        <f t="shared" si="67"/>
        <v>0.33679651596346855</v>
      </c>
      <c r="CG54" s="466">
        <f t="shared" si="67"/>
        <v>0.33523186141729144</v>
      </c>
      <c r="CH54" s="466">
        <f t="shared" si="67"/>
        <v>0.33587233808093958</v>
      </c>
      <c r="CI54" s="466">
        <f t="shared" si="67"/>
        <v>0.33867744396799354</v>
      </c>
      <c r="CJ54" s="466">
        <f t="shared" si="67"/>
        <v>0.34156234997148588</v>
      </c>
      <c r="CK54" s="466">
        <f t="shared" si="67"/>
        <v>0.34027506024056609</v>
      </c>
      <c r="CL54" s="467">
        <f t="shared" si="67"/>
        <v>0.34172183538416628</v>
      </c>
      <c r="CM54" s="469">
        <f t="shared" si="15"/>
        <v>0.31525047330599532</v>
      </c>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row>
    <row r="55" spans="1:178">
      <c r="A55" s="463" t="s">
        <v>337</v>
      </c>
      <c r="B55" s="52" t="s">
        <v>309</v>
      </c>
      <c r="C55" s="362" t="s">
        <v>323</v>
      </c>
      <c r="D55" s="362"/>
      <c r="E55" s="58"/>
      <c r="F55" s="382" t="s">
        <v>338</v>
      </c>
      <c r="G55" s="464">
        <f>G8*G19+G9*G20+G10*G21+G11*G22+G12*G23</f>
        <v>2037742312.5858335</v>
      </c>
      <c r="H55" s="464">
        <f t="shared" ref="H55:BR55" si="68">H8*H19+H9*H20+H10*H21+H11*H22+H12*H23</f>
        <v>2004487187.8326516</v>
      </c>
      <c r="I55" s="464">
        <f t="shared" si="68"/>
        <v>2014653441.6044705</v>
      </c>
      <c r="J55" s="464">
        <f t="shared" si="68"/>
        <v>2026887380.0679541</v>
      </c>
      <c r="K55" s="464">
        <f t="shared" si="68"/>
        <v>2000927324.3897731</v>
      </c>
      <c r="L55" s="464">
        <f t="shared" si="68"/>
        <v>2047278060.2657576</v>
      </c>
      <c r="M55" s="464">
        <f t="shared" si="68"/>
        <v>2012872747.8584099</v>
      </c>
      <c r="N55" s="464">
        <f t="shared" si="68"/>
        <v>2057459927.7427278</v>
      </c>
      <c r="O55" s="464">
        <f t="shared" si="68"/>
        <v>1971801348.4187121</v>
      </c>
      <c r="P55" s="464">
        <f t="shared" si="68"/>
        <v>2015806801.7613637</v>
      </c>
      <c r="Q55" s="464">
        <f t="shared" si="68"/>
        <v>1966507222.504015</v>
      </c>
      <c r="R55" s="464">
        <f t="shared" si="68"/>
        <v>1874677230.9008334</v>
      </c>
      <c r="S55" s="464">
        <f t="shared" si="68"/>
        <v>1895889517.9911253</v>
      </c>
      <c r="T55" s="464">
        <f t="shared" si="68"/>
        <v>1887912148.5953751</v>
      </c>
      <c r="U55" s="464">
        <f t="shared" si="68"/>
        <v>1789885710.7045832</v>
      </c>
      <c r="V55" s="464">
        <f t="shared" si="68"/>
        <v>1861827036.9979165</v>
      </c>
      <c r="W55" s="464">
        <f t="shared" si="68"/>
        <v>1715154407.09375</v>
      </c>
      <c r="X55" s="464">
        <f t="shared" si="68"/>
        <v>1726058726.0041666</v>
      </c>
      <c r="Y55" s="464">
        <f t="shared" si="68"/>
        <v>1798306415.1297085</v>
      </c>
      <c r="Z55" s="464">
        <f t="shared" si="68"/>
        <v>1786976779.0999999</v>
      </c>
      <c r="AA55" s="464">
        <f t="shared" si="68"/>
        <v>1807355196.8125</v>
      </c>
      <c r="AB55" s="464">
        <f t="shared" si="68"/>
        <v>1845387679.1031668</v>
      </c>
      <c r="AC55" s="464">
        <f t="shared" si="68"/>
        <v>1858262636.1089582</v>
      </c>
      <c r="AD55" s="464">
        <f t="shared" si="68"/>
        <v>1814898549.0958333</v>
      </c>
      <c r="AE55" s="464">
        <f t="shared" si="68"/>
        <v>1817404128.0766251</v>
      </c>
      <c r="AF55" s="464">
        <f t="shared" si="68"/>
        <v>1813467216.3273752</v>
      </c>
      <c r="AG55" s="464">
        <f t="shared" si="68"/>
        <v>1867648981.0604167</v>
      </c>
      <c r="AH55" s="464">
        <f t="shared" si="68"/>
        <v>1927196753.0917497</v>
      </c>
      <c r="AI55" s="464">
        <f t="shared" si="68"/>
        <v>2042528163.8791666</v>
      </c>
      <c r="AJ55" s="464">
        <f t="shared" si="68"/>
        <v>2003527361.9104166</v>
      </c>
      <c r="AK55" s="464">
        <f t="shared" si="68"/>
        <v>2103634511.3818753</v>
      </c>
      <c r="AL55" s="464">
        <f t="shared" si="68"/>
        <v>2057631198.8333333</v>
      </c>
      <c r="AM55" s="464">
        <f t="shared" si="68"/>
        <v>2022839562.8458335</v>
      </c>
      <c r="AN55" s="464">
        <f t="shared" si="68"/>
        <v>2049292912.8553333</v>
      </c>
      <c r="AO55" s="464">
        <f t="shared" si="68"/>
        <v>1984243761.354167</v>
      </c>
      <c r="AP55" s="464">
        <f t="shared" si="68"/>
        <v>1981677279.1391666</v>
      </c>
      <c r="AQ55" s="464">
        <f t="shared" si="68"/>
        <v>2015557808.8287921</v>
      </c>
      <c r="AR55" s="464">
        <f t="shared" si="68"/>
        <v>1934825852.9572918</v>
      </c>
      <c r="AS55" s="464">
        <f t="shared" si="68"/>
        <v>2027939760.5647502</v>
      </c>
      <c r="AT55" s="464">
        <f t="shared" si="68"/>
        <v>2072400390.4855831</v>
      </c>
      <c r="AU55" s="376">
        <f t="shared" si="68"/>
        <v>2207206555.3305416</v>
      </c>
      <c r="AV55" s="376">
        <f t="shared" si="68"/>
        <v>2265637505.8129997</v>
      </c>
      <c r="AW55" s="376">
        <f t="shared" si="68"/>
        <v>2301275085.3630829</v>
      </c>
      <c r="AX55" s="376">
        <f t="shared" si="68"/>
        <v>2330775518.9318748</v>
      </c>
      <c r="AY55" s="376">
        <f t="shared" si="68"/>
        <v>2702390177.356833</v>
      </c>
      <c r="AZ55" s="376">
        <f t="shared" si="68"/>
        <v>2678390885.2727499</v>
      </c>
      <c r="BA55" s="376">
        <f t="shared" si="68"/>
        <v>2682186994.5336246</v>
      </c>
      <c r="BB55" s="376">
        <f t="shared" si="68"/>
        <v>2817850150.9139166</v>
      </c>
      <c r="BC55" s="376">
        <f t="shared" si="68"/>
        <v>2770368737.7904162</v>
      </c>
      <c r="BD55" s="376">
        <f t="shared" si="68"/>
        <v>2524376986.7148333</v>
      </c>
      <c r="BE55" s="376">
        <f t="shared" si="68"/>
        <v>2128510585.4711249</v>
      </c>
      <c r="BF55" s="376">
        <f t="shared" si="68"/>
        <v>1978039677.6408331</v>
      </c>
      <c r="BG55" s="376">
        <f t="shared" si="68"/>
        <v>1972876626.4758747</v>
      </c>
      <c r="BH55" s="376">
        <f t="shared" si="68"/>
        <v>2031401552.5521665</v>
      </c>
      <c r="BI55" s="376">
        <f t="shared" si="68"/>
        <v>2014901611.4142499</v>
      </c>
      <c r="BJ55" s="376">
        <f t="shared" si="68"/>
        <v>1988620048.1518748</v>
      </c>
      <c r="BK55" s="376">
        <f t="shared" si="68"/>
        <v>2038945434.3624997</v>
      </c>
      <c r="BL55" s="376">
        <f t="shared" si="68"/>
        <v>2005691562.9541664</v>
      </c>
      <c r="BM55" s="376">
        <f t="shared" si="68"/>
        <v>2105875756.5999999</v>
      </c>
      <c r="BN55" s="376">
        <f t="shared" si="68"/>
        <v>2150303613.958333</v>
      </c>
      <c r="BO55" s="376">
        <f t="shared" si="68"/>
        <v>2263927349.9499998</v>
      </c>
      <c r="BP55" s="376">
        <f t="shared" si="68"/>
        <v>2148390801.5458331</v>
      </c>
      <c r="BQ55" s="376">
        <f t="shared" si="68"/>
        <v>1952333974.1083331</v>
      </c>
      <c r="BR55" s="376">
        <f t="shared" si="68"/>
        <v>2080553192.2583332</v>
      </c>
      <c r="BS55" s="376">
        <f t="shared" ref="BS55:CL55" si="69">BS8*BS19+BS9*BS20+BS10*BS21+BS11*BS22+BS12*BS23</f>
        <v>2095757397.1374998</v>
      </c>
      <c r="BT55" s="376">
        <f t="shared" si="69"/>
        <v>1892485148.6666665</v>
      </c>
      <c r="BU55" s="376">
        <f t="shared" si="69"/>
        <v>1461954475.2624998</v>
      </c>
      <c r="BV55" s="376">
        <f t="shared" si="69"/>
        <v>935025666.21666658</v>
      </c>
      <c r="BW55" s="376">
        <f t="shared" si="69"/>
        <v>1030553266.6999999</v>
      </c>
      <c r="BX55" s="376">
        <f t="shared" si="69"/>
        <v>1264661862.5041666</v>
      </c>
      <c r="BY55" s="376">
        <f t="shared" si="69"/>
        <v>1365135990.9083333</v>
      </c>
      <c r="BZ55" s="376">
        <f t="shared" si="69"/>
        <v>1508754913.0249999</v>
      </c>
      <c r="CA55" s="376">
        <f t="shared" si="69"/>
        <v>1588397759.3374999</v>
      </c>
      <c r="CB55" s="376">
        <f t="shared" si="69"/>
        <v>1752964189.3625</v>
      </c>
      <c r="CC55" s="376">
        <f t="shared" si="69"/>
        <v>2084897173.8499999</v>
      </c>
      <c r="CD55" s="376">
        <f t="shared" si="69"/>
        <v>2130776409.7624998</v>
      </c>
      <c r="CE55" s="376">
        <f t="shared" si="69"/>
        <v>1945053026.6958332</v>
      </c>
      <c r="CF55" s="376">
        <f t="shared" si="69"/>
        <v>2094339516.5083332</v>
      </c>
      <c r="CG55" s="376">
        <f t="shared" si="69"/>
        <v>2420797427.7791662</v>
      </c>
      <c r="CH55" s="376">
        <f t="shared" si="69"/>
        <v>2396454181.3458333</v>
      </c>
      <c r="CI55" s="376">
        <f t="shared" si="69"/>
        <v>2504668061.5333333</v>
      </c>
      <c r="CJ55" s="376">
        <f t="shared" si="69"/>
        <v>2673180238.7716665</v>
      </c>
      <c r="CK55" s="376">
        <f t="shared" si="69"/>
        <v>2998788117.4987497</v>
      </c>
      <c r="CL55" s="382">
        <f t="shared" si="69"/>
        <v>2972134784.3033333</v>
      </c>
      <c r="CM55" s="75">
        <f t="shared" si="15"/>
        <v>2033314778.8678041</v>
      </c>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c r="EX55" s="58"/>
      <c r="EY55" s="58"/>
      <c r="EZ55" s="58"/>
      <c r="FA55" s="58"/>
      <c r="FB55" s="58"/>
      <c r="FC55" s="58"/>
      <c r="FD55" s="58"/>
      <c r="FE55" s="58"/>
      <c r="FF55" s="58"/>
      <c r="FG55" s="58"/>
      <c r="FH55" s="58"/>
      <c r="FI55" s="58"/>
      <c r="FJ55" s="58"/>
      <c r="FK55" s="58"/>
      <c r="FL55" s="58"/>
      <c r="FM55" s="58"/>
      <c r="FN55" s="58"/>
      <c r="FO55" s="58"/>
      <c r="FP55" s="58"/>
      <c r="FQ55" s="58"/>
      <c r="FR55" s="58"/>
      <c r="FS55" s="58"/>
      <c r="FT55" s="58"/>
      <c r="FU55" s="58"/>
      <c r="FV55" s="58"/>
    </row>
    <row r="56" spans="1:178">
      <c r="A56" s="457" t="s">
        <v>339</v>
      </c>
      <c r="B56" s="53" t="s">
        <v>309</v>
      </c>
      <c r="C56" s="367" t="s">
        <v>323</v>
      </c>
      <c r="D56" s="367"/>
      <c r="E56" s="236"/>
      <c r="F56" s="389" t="s">
        <v>181</v>
      </c>
      <c r="G56" s="470">
        <f t="shared" ref="G56:BR56" si="70">G24*G3+G4*G25+G26*G5+G6*G27+G28*CP42</f>
        <v>1480297946.6571167</v>
      </c>
      <c r="H56" s="470">
        <f t="shared" si="70"/>
        <v>1309260149.3203483</v>
      </c>
      <c r="I56" s="470">
        <f t="shared" si="70"/>
        <v>1106730267.510704</v>
      </c>
      <c r="J56" s="470">
        <f t="shared" si="70"/>
        <v>886430306.58601081</v>
      </c>
      <c r="K56" s="470">
        <f t="shared" si="70"/>
        <v>1042990728.9439415</v>
      </c>
      <c r="L56" s="470">
        <f t="shared" si="70"/>
        <v>1054107747.5141746</v>
      </c>
      <c r="M56" s="470">
        <f t="shared" si="70"/>
        <v>1081916746.4922471</v>
      </c>
      <c r="N56" s="470">
        <f t="shared" si="70"/>
        <v>1140329779.2405026</v>
      </c>
      <c r="O56" s="470">
        <f t="shared" si="70"/>
        <v>1084685768.3746762</v>
      </c>
      <c r="P56" s="470">
        <f t="shared" si="70"/>
        <v>970825111.39034438</v>
      </c>
      <c r="Q56" s="470">
        <f t="shared" si="70"/>
        <v>886988990.40104043</v>
      </c>
      <c r="R56" s="470">
        <f t="shared" si="70"/>
        <v>897985753.3918308</v>
      </c>
      <c r="S56" s="470">
        <f t="shared" si="70"/>
        <v>936872068.88884044</v>
      </c>
      <c r="T56" s="470">
        <f t="shared" si="70"/>
        <v>975909614.14789748</v>
      </c>
      <c r="U56" s="470">
        <f t="shared" si="70"/>
        <v>953857936.99247766</v>
      </c>
      <c r="V56" s="470">
        <f t="shared" si="70"/>
        <v>781438223.41050291</v>
      </c>
      <c r="W56" s="470">
        <f t="shared" si="70"/>
        <v>719602632.67118502</v>
      </c>
      <c r="X56" s="470">
        <f t="shared" si="70"/>
        <v>778587098.18634713</v>
      </c>
      <c r="Y56" s="470">
        <f t="shared" si="70"/>
        <v>833697763.61532259</v>
      </c>
      <c r="Z56" s="470">
        <f t="shared" si="70"/>
        <v>875446924.78195345</v>
      </c>
      <c r="AA56" s="470">
        <f t="shared" si="70"/>
        <v>896347948.20670223</v>
      </c>
      <c r="AB56" s="470">
        <f t="shared" si="70"/>
        <v>813764370.67943895</v>
      </c>
      <c r="AC56" s="470">
        <f t="shared" si="70"/>
        <v>782797285.08247745</v>
      </c>
      <c r="AD56" s="470">
        <f t="shared" si="70"/>
        <v>829238957.64032674</v>
      </c>
      <c r="AE56" s="470">
        <f t="shared" si="70"/>
        <v>922177591.06140268</v>
      </c>
      <c r="AF56" s="470">
        <f t="shared" si="70"/>
        <v>957270769.69381487</v>
      </c>
      <c r="AG56" s="470">
        <f t="shared" si="70"/>
        <v>1014873251.2062478</v>
      </c>
      <c r="AH56" s="470">
        <f t="shared" si="70"/>
        <v>1109393447.5626111</v>
      </c>
      <c r="AI56" s="470">
        <f t="shared" si="70"/>
        <v>1154554329.9287071</v>
      </c>
      <c r="AJ56" s="470">
        <f t="shared" si="70"/>
        <v>1051078197.7961265</v>
      </c>
      <c r="AK56" s="470">
        <f t="shared" si="70"/>
        <v>1004669358.1472921</v>
      </c>
      <c r="AL56" s="470">
        <f t="shared" si="70"/>
        <v>917647195.32985914</v>
      </c>
      <c r="AM56" s="470">
        <f t="shared" si="70"/>
        <v>870568026.85302162</v>
      </c>
      <c r="AN56" s="470">
        <f t="shared" si="70"/>
        <v>865444420.05069625</v>
      </c>
      <c r="AO56" s="470">
        <f t="shared" si="70"/>
        <v>966929443.37380373</v>
      </c>
      <c r="AP56" s="470">
        <f t="shared" si="70"/>
        <v>1066331015.4062269</v>
      </c>
      <c r="AQ56" s="470">
        <f t="shared" si="70"/>
        <v>1163018097.6888816</v>
      </c>
      <c r="AR56" s="470">
        <f t="shared" si="70"/>
        <v>1245447871.6928008</v>
      </c>
      <c r="AS56" s="470">
        <f t="shared" si="70"/>
        <v>1240332588.9446185</v>
      </c>
      <c r="AT56" s="470">
        <f t="shared" si="70"/>
        <v>1252277586.9926729</v>
      </c>
      <c r="AU56" s="387">
        <f t="shared" si="70"/>
        <v>1167546650.3466859</v>
      </c>
      <c r="AV56" s="387">
        <f t="shared" si="70"/>
        <v>1166443401.4162042</v>
      </c>
      <c r="AW56" s="387">
        <f t="shared" si="70"/>
        <v>1228318599.7083216</v>
      </c>
      <c r="AX56" s="387">
        <f t="shared" si="70"/>
        <v>1377984089.9813073</v>
      </c>
      <c r="AY56" s="387">
        <f t="shared" si="70"/>
        <v>1376973083.4679663</v>
      </c>
      <c r="AZ56" s="387">
        <f t="shared" si="70"/>
        <v>1414751652.0323691</v>
      </c>
      <c r="BA56" s="387">
        <f t="shared" si="70"/>
        <v>1455345702.2825675</v>
      </c>
      <c r="BB56" s="387">
        <f t="shared" si="70"/>
        <v>1574380009.9732449</v>
      </c>
      <c r="BC56" s="387">
        <f t="shared" si="70"/>
        <v>1620395867.6986353</v>
      </c>
      <c r="BD56" s="387">
        <f t="shared" si="70"/>
        <v>1238809381.3459601</v>
      </c>
      <c r="BE56" s="387">
        <f t="shared" si="70"/>
        <v>1075336826.0467706</v>
      </c>
      <c r="BF56" s="387">
        <f t="shared" si="70"/>
        <v>1072578625.8330224</v>
      </c>
      <c r="BG56" s="387">
        <f t="shared" si="70"/>
        <v>1167275673.0765469</v>
      </c>
      <c r="BH56" s="387">
        <f t="shared" si="70"/>
        <v>1223931966.6065125</v>
      </c>
      <c r="BI56" s="387">
        <f t="shared" si="70"/>
        <v>1295694245.6189618</v>
      </c>
      <c r="BJ56" s="387">
        <f t="shared" si="70"/>
        <v>1256342354.9904211</v>
      </c>
      <c r="BK56" s="387">
        <f t="shared" si="70"/>
        <v>1066078635.1541312</v>
      </c>
      <c r="BL56" s="387">
        <f t="shared" si="70"/>
        <v>1080329658.1293931</v>
      </c>
      <c r="BM56" s="387">
        <f t="shared" si="70"/>
        <v>1032801121.4341869</v>
      </c>
      <c r="BN56" s="387">
        <f t="shared" si="70"/>
        <v>1072586178.544825</v>
      </c>
      <c r="BO56" s="387">
        <f t="shared" si="70"/>
        <v>1114963205.9637833</v>
      </c>
      <c r="BP56" s="387">
        <f t="shared" si="70"/>
        <v>1181415847.6095707</v>
      </c>
      <c r="BQ56" s="387">
        <f t="shared" si="70"/>
        <v>1220450345.0211871</v>
      </c>
      <c r="BR56" s="387">
        <f t="shared" si="70"/>
        <v>1287334322.0070837</v>
      </c>
      <c r="BS56" s="387">
        <f t="shared" ref="BS56:CL56" si="71">BS24*BS3+BS4*BS25+BS26*BS5+BS6*BS27+BS28*FB42</f>
        <v>1155024892.8429847</v>
      </c>
      <c r="BT56" s="387">
        <f t="shared" si="71"/>
        <v>804170508.83886802</v>
      </c>
      <c r="BU56" s="387">
        <f t="shared" si="71"/>
        <v>421702605.55437338</v>
      </c>
      <c r="BV56" s="387">
        <f t="shared" si="71"/>
        <v>640618789.10071194</v>
      </c>
      <c r="BW56" s="387">
        <f t="shared" si="71"/>
        <v>886625356.74275696</v>
      </c>
      <c r="BX56" s="387">
        <f t="shared" si="71"/>
        <v>949101598.82912922</v>
      </c>
      <c r="BY56" s="387">
        <f t="shared" si="71"/>
        <v>947616715.33853126</v>
      </c>
      <c r="BZ56" s="387">
        <f t="shared" si="71"/>
        <v>939222131.49965191</v>
      </c>
      <c r="CA56" s="387">
        <f t="shared" si="71"/>
        <v>941089161.22928882</v>
      </c>
      <c r="CB56" s="387">
        <f t="shared" si="71"/>
        <v>972234239.33545339</v>
      </c>
      <c r="CC56" s="387">
        <f t="shared" si="71"/>
        <v>1073005515.81776</v>
      </c>
      <c r="CD56" s="387">
        <f t="shared" si="71"/>
        <v>1248826902.018378</v>
      </c>
      <c r="CE56" s="387">
        <f t="shared" si="71"/>
        <v>1371128609.0743182</v>
      </c>
      <c r="CF56" s="387">
        <f t="shared" si="71"/>
        <v>1413393774.8073974</v>
      </c>
      <c r="CG56" s="387">
        <f t="shared" si="71"/>
        <v>1359513036.7565446</v>
      </c>
      <c r="CH56" s="387">
        <f t="shared" si="71"/>
        <v>1350369065.5237668</v>
      </c>
      <c r="CI56" s="387">
        <f t="shared" si="71"/>
        <v>1467158597.7988193</v>
      </c>
      <c r="CJ56" s="387">
        <f t="shared" si="71"/>
        <v>1613581087.4221108</v>
      </c>
      <c r="CK56" s="387">
        <f t="shared" si="71"/>
        <v>1561701737.333288</v>
      </c>
      <c r="CL56" s="389">
        <f t="shared" si="71"/>
        <v>1625030552.9895782</v>
      </c>
      <c r="CM56" s="75">
        <f t="shared" si="15"/>
        <v>1100372686.1309352</v>
      </c>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c r="EX56" s="58"/>
      <c r="EY56" s="58"/>
      <c r="EZ56" s="58"/>
      <c r="FA56" s="58"/>
      <c r="FB56" s="58"/>
      <c r="FC56" s="58"/>
      <c r="FD56" s="58"/>
      <c r="FE56" s="58"/>
      <c r="FF56" s="58"/>
      <c r="FG56" s="58"/>
      <c r="FH56" s="58"/>
      <c r="FI56" s="58"/>
      <c r="FJ56" s="58"/>
      <c r="FK56" s="58"/>
      <c r="FL56" s="58"/>
      <c r="FM56" s="58"/>
      <c r="FN56" s="58"/>
      <c r="FO56" s="58"/>
      <c r="FP56" s="58"/>
      <c r="FQ56" s="58"/>
      <c r="FR56" s="58"/>
      <c r="FS56" s="58"/>
      <c r="FT56" s="58"/>
      <c r="FU56" s="58"/>
      <c r="FV56" s="58"/>
    </row>
    <row r="57" spans="1:178">
      <c r="A57" s="58"/>
      <c r="B57" s="58"/>
      <c r="C57" s="58"/>
      <c r="D57" s="58"/>
      <c r="E57" s="58"/>
      <c r="F57" s="480"/>
      <c r="G57" s="480"/>
      <c r="H57" s="480"/>
      <c r="I57" s="480"/>
      <c r="J57" s="480"/>
      <c r="K57" s="480"/>
      <c r="L57" s="480"/>
      <c r="M57" s="480"/>
      <c r="N57" s="480"/>
      <c r="O57" s="480"/>
      <c r="P57" s="480"/>
      <c r="Q57" s="480"/>
      <c r="R57" s="480"/>
      <c r="S57" s="481"/>
      <c r="T57" s="481"/>
      <c r="U57" s="481"/>
      <c r="V57" s="481"/>
      <c r="W57" s="481"/>
      <c r="X57" s="481"/>
      <c r="Y57" s="481"/>
      <c r="Z57" s="481"/>
      <c r="AA57" s="481"/>
      <c r="AB57" s="481"/>
      <c r="AC57" s="481"/>
      <c r="AD57" s="481"/>
      <c r="AE57" s="481"/>
      <c r="AF57" s="481"/>
      <c r="AG57" s="481"/>
      <c r="AH57" s="481"/>
      <c r="AI57" s="481"/>
      <c r="AJ57" s="481"/>
      <c r="AK57" s="481"/>
      <c r="AL57" s="481"/>
      <c r="AM57" s="481"/>
      <c r="AN57" s="481"/>
      <c r="AO57" s="481"/>
      <c r="AP57" s="481"/>
      <c r="AQ57" s="481"/>
      <c r="AR57" s="481"/>
      <c r="AS57" s="481"/>
      <c r="AT57" s="482">
        <v>8000</v>
      </c>
      <c r="AU57" s="481"/>
      <c r="AV57" s="481"/>
      <c r="AW57" s="481"/>
      <c r="AX57" s="481"/>
      <c r="AY57" s="481"/>
      <c r="AZ57" s="481"/>
      <c r="BA57" s="481"/>
      <c r="BB57" s="481"/>
      <c r="BC57" s="481"/>
      <c r="BD57" s="481"/>
      <c r="BE57" s="481"/>
      <c r="BF57" s="481"/>
      <c r="BG57" s="481"/>
      <c r="BH57" s="481"/>
      <c r="BI57" s="481"/>
      <c r="BJ57" s="481"/>
      <c r="BK57" s="481"/>
      <c r="BL57" s="481"/>
      <c r="BM57" s="481"/>
      <c r="BN57" s="481"/>
      <c r="BO57" s="481"/>
      <c r="BP57" s="481"/>
      <c r="BQ57" s="481"/>
      <c r="BR57" s="481"/>
      <c r="BS57" s="481"/>
      <c r="BT57" s="481"/>
      <c r="BU57" s="481"/>
      <c r="BV57" s="481"/>
      <c r="BW57" s="481"/>
      <c r="BX57" s="481"/>
      <c r="BY57" s="481"/>
      <c r="BZ57" s="481"/>
      <c r="CA57" s="481"/>
      <c r="CB57" s="481"/>
      <c r="CC57" s="481"/>
      <c r="CD57" s="481"/>
      <c r="CE57" s="481"/>
      <c r="CF57" s="481"/>
      <c r="CG57" s="481"/>
      <c r="CH57" s="481"/>
      <c r="CI57" s="481"/>
      <c r="CJ57" s="481"/>
      <c r="CK57" s="481"/>
      <c r="CL57" s="481"/>
      <c r="CM57" s="415"/>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c r="EX57" s="58"/>
      <c r="EY57" s="58"/>
      <c r="EZ57" s="58"/>
      <c r="FA57" s="58"/>
      <c r="FB57" s="58"/>
      <c r="FC57" s="58"/>
      <c r="FD57" s="58"/>
      <c r="FE57" s="58"/>
      <c r="FF57" s="58"/>
      <c r="FG57" s="58"/>
      <c r="FH57" s="58"/>
      <c r="FI57" s="58"/>
      <c r="FJ57" s="58"/>
      <c r="FK57" s="58"/>
      <c r="FL57" s="58"/>
      <c r="FM57" s="58"/>
      <c r="FN57" s="58"/>
      <c r="FO57" s="58"/>
      <c r="FP57" s="58"/>
      <c r="FQ57" s="58"/>
      <c r="FR57" s="58"/>
      <c r="FS57" s="58"/>
      <c r="FT57" s="58"/>
      <c r="FU57" s="58"/>
      <c r="FV57" s="58"/>
    </row>
    <row r="58" spans="1:178" ht="12.75" customHeight="1">
      <c r="A58" s="1047" t="s">
        <v>608</v>
      </c>
      <c r="B58" s="1047"/>
      <c r="C58" s="1047"/>
      <c r="D58" s="1047"/>
      <c r="E58" s="1048"/>
      <c r="F58" s="483" t="s">
        <v>183</v>
      </c>
      <c r="G58" s="483"/>
      <c r="H58" s="483"/>
      <c r="I58" s="483"/>
      <c r="J58" s="483"/>
      <c r="K58" s="483"/>
      <c r="L58" s="483"/>
      <c r="M58" s="483"/>
      <c r="N58" s="483"/>
      <c r="O58" s="483"/>
      <c r="P58" s="483"/>
      <c r="Q58" s="483"/>
      <c r="R58" s="483"/>
      <c r="S58" s="484"/>
      <c r="T58" s="484"/>
      <c r="U58" s="484"/>
      <c r="V58" s="484"/>
      <c r="W58" s="484"/>
      <c r="X58" s="484"/>
      <c r="Y58" s="484"/>
      <c r="Z58" s="484"/>
      <c r="AA58" s="484"/>
      <c r="AB58" s="484"/>
      <c r="AC58" s="484"/>
      <c r="AD58" s="484"/>
      <c r="AE58" s="484"/>
      <c r="AF58" s="484"/>
      <c r="AG58" s="484"/>
      <c r="AH58" s="484"/>
      <c r="AI58" s="484"/>
      <c r="AJ58" s="484"/>
      <c r="AK58" s="484"/>
      <c r="AL58" s="484"/>
      <c r="AM58" s="484"/>
      <c r="AN58" s="484"/>
      <c r="AO58" s="484"/>
      <c r="AP58" s="484"/>
      <c r="AQ58" s="484"/>
      <c r="AR58" s="484"/>
      <c r="AS58" s="484"/>
      <c r="AT58" s="485"/>
      <c r="AU58" s="359"/>
      <c r="AV58" s="359"/>
      <c r="AW58" s="359"/>
      <c r="AX58" s="359"/>
      <c r="AY58" s="359"/>
      <c r="AZ58" s="359"/>
      <c r="BA58" s="359"/>
      <c r="BB58" s="359"/>
      <c r="BC58" s="359"/>
      <c r="BD58" s="359"/>
      <c r="BE58" s="359"/>
      <c r="BF58" s="359"/>
      <c r="BG58" s="359"/>
      <c r="BH58" s="359"/>
      <c r="BI58" s="359"/>
      <c r="BJ58" s="359"/>
      <c r="BK58" s="359"/>
      <c r="BL58" s="359"/>
      <c r="BM58" s="359"/>
      <c r="BN58" s="359"/>
      <c r="BO58" s="359"/>
      <c r="BP58" s="359"/>
      <c r="BQ58" s="359"/>
      <c r="BR58" s="359"/>
      <c r="BS58" s="359"/>
      <c r="BT58" s="359"/>
      <c r="BU58" s="359"/>
      <c r="BV58" s="359"/>
      <c r="BW58" s="359"/>
      <c r="BX58" s="359"/>
      <c r="BY58" s="359"/>
      <c r="BZ58" s="359"/>
      <c r="CA58" s="359"/>
      <c r="CB58" s="359"/>
      <c r="CC58" s="359"/>
      <c r="CD58" s="359"/>
      <c r="CE58" s="359"/>
      <c r="CF58" s="359"/>
      <c r="CG58" s="359"/>
      <c r="CH58" s="359"/>
      <c r="CI58" s="359"/>
      <c r="CJ58" s="359"/>
      <c r="CK58" s="359"/>
      <c r="CL58" s="359"/>
      <c r="CM58" s="484"/>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row>
    <row r="59" spans="1:178">
      <c r="A59" s="1047"/>
      <c r="B59" s="1047"/>
      <c r="C59" s="1047"/>
      <c r="D59" s="1047"/>
      <c r="E59" s="1048"/>
      <c r="F59" s="363" t="s">
        <v>184</v>
      </c>
      <c r="G59" s="482">
        <f t="shared" ref="G59:AL59" si="72">G43</f>
        <v>5310784.7387895873</v>
      </c>
      <c r="H59" s="482">
        <f t="shared" si="72"/>
        <v>5310784.7387895873</v>
      </c>
      <c r="I59" s="482">
        <f t="shared" si="72"/>
        <v>5310784.7387895873</v>
      </c>
      <c r="J59" s="482">
        <f t="shared" si="72"/>
        <v>5310784.7387895873</v>
      </c>
      <c r="K59" s="482">
        <f t="shared" si="72"/>
        <v>5310784.7387895873</v>
      </c>
      <c r="L59" s="482">
        <f t="shared" si="72"/>
        <v>5310784.7387895873</v>
      </c>
      <c r="M59" s="482">
        <f t="shared" si="72"/>
        <v>5310784.7387895873</v>
      </c>
      <c r="N59" s="482">
        <f t="shared" si="72"/>
        <v>5310784.7387895873</v>
      </c>
      <c r="O59" s="482">
        <f t="shared" si="72"/>
        <v>5310784.7387895873</v>
      </c>
      <c r="P59" s="482">
        <f t="shared" si="72"/>
        <v>5310784.7387895873</v>
      </c>
      <c r="Q59" s="482">
        <f t="shared" si="72"/>
        <v>5310784.7387895873</v>
      </c>
      <c r="R59" s="482">
        <f t="shared" si="72"/>
        <v>5310784.7387895873</v>
      </c>
      <c r="S59" s="482">
        <f t="shared" si="72"/>
        <v>5310784.7387895873</v>
      </c>
      <c r="T59" s="482">
        <f t="shared" si="72"/>
        <v>5310784.7387895873</v>
      </c>
      <c r="U59" s="482">
        <f t="shared" si="72"/>
        <v>5310784.7387895873</v>
      </c>
      <c r="V59" s="482">
        <f t="shared" si="72"/>
        <v>5310784.7387895873</v>
      </c>
      <c r="W59" s="482">
        <f t="shared" si="72"/>
        <v>5310784.7387895873</v>
      </c>
      <c r="X59" s="482">
        <f t="shared" si="72"/>
        <v>5310784.7387895873</v>
      </c>
      <c r="Y59" s="482">
        <f t="shared" si="72"/>
        <v>5310784.7387895873</v>
      </c>
      <c r="Z59" s="482">
        <f t="shared" si="72"/>
        <v>5310784.7387895873</v>
      </c>
      <c r="AA59" s="482">
        <f t="shared" si="72"/>
        <v>5310784.7387895873</v>
      </c>
      <c r="AB59" s="482">
        <f t="shared" si="72"/>
        <v>5310784.7387895873</v>
      </c>
      <c r="AC59" s="482">
        <f t="shared" si="72"/>
        <v>5310784.7387895873</v>
      </c>
      <c r="AD59" s="482">
        <f t="shared" si="72"/>
        <v>5310784.7387895873</v>
      </c>
      <c r="AE59" s="482">
        <f t="shared" si="72"/>
        <v>5310784.7387895873</v>
      </c>
      <c r="AF59" s="482">
        <f t="shared" si="72"/>
        <v>5310784.7387895873</v>
      </c>
      <c r="AG59" s="482">
        <f t="shared" si="72"/>
        <v>5310784.7387895873</v>
      </c>
      <c r="AH59" s="482">
        <f t="shared" si="72"/>
        <v>5310784.7387895873</v>
      </c>
      <c r="AI59" s="482">
        <f t="shared" si="72"/>
        <v>5310784.7387895873</v>
      </c>
      <c r="AJ59" s="482">
        <f t="shared" si="72"/>
        <v>5310784.7387895873</v>
      </c>
      <c r="AK59" s="482">
        <f t="shared" si="72"/>
        <v>5310784.7387895873</v>
      </c>
      <c r="AL59" s="482">
        <f t="shared" si="72"/>
        <v>5310784.7387895873</v>
      </c>
      <c r="AM59" s="482">
        <f t="shared" ref="AM59:BR59" si="73">AM43</f>
        <v>5310784.7387895873</v>
      </c>
      <c r="AN59" s="482">
        <f t="shared" si="73"/>
        <v>5310784.7387895873</v>
      </c>
      <c r="AO59" s="482">
        <f t="shared" si="73"/>
        <v>5310784.7387895873</v>
      </c>
      <c r="AP59" s="482">
        <f t="shared" si="73"/>
        <v>5310784.7387895873</v>
      </c>
      <c r="AQ59" s="482">
        <f t="shared" si="73"/>
        <v>5310784.7387895873</v>
      </c>
      <c r="AR59" s="482">
        <f t="shared" si="73"/>
        <v>5310784.7387895873</v>
      </c>
      <c r="AS59" s="482">
        <f t="shared" si="73"/>
        <v>5310784.7387895873</v>
      </c>
      <c r="AT59" s="482">
        <f t="shared" si="73"/>
        <v>5310784.7387895873</v>
      </c>
      <c r="AU59" s="319">
        <f t="shared" si="73"/>
        <v>5310784.7387895873</v>
      </c>
      <c r="AV59" s="319">
        <f t="shared" si="73"/>
        <v>5310784.7387895873</v>
      </c>
      <c r="AW59" s="319">
        <f t="shared" si="73"/>
        <v>5310784.7387895873</v>
      </c>
      <c r="AX59" s="319">
        <f t="shared" si="73"/>
        <v>5310784.7387895873</v>
      </c>
      <c r="AY59" s="319">
        <f t="shared" si="73"/>
        <v>5310784.7387895873</v>
      </c>
      <c r="AZ59" s="319">
        <f t="shared" si="73"/>
        <v>5310784.7387895873</v>
      </c>
      <c r="BA59" s="319">
        <f t="shared" si="73"/>
        <v>5310784.7387895873</v>
      </c>
      <c r="BB59" s="319">
        <f t="shared" si="73"/>
        <v>5310784.7387895873</v>
      </c>
      <c r="BC59" s="319">
        <f t="shared" si="73"/>
        <v>5310784.7387895873</v>
      </c>
      <c r="BD59" s="319">
        <f t="shared" si="73"/>
        <v>5310784.7387895873</v>
      </c>
      <c r="BE59" s="319">
        <f t="shared" si="73"/>
        <v>5310784.7387895873</v>
      </c>
      <c r="BF59" s="319">
        <f t="shared" si="73"/>
        <v>5310784.7387895873</v>
      </c>
      <c r="BG59" s="319">
        <f t="shared" si="73"/>
        <v>5310784.7387895873</v>
      </c>
      <c r="BH59" s="319">
        <f t="shared" si="73"/>
        <v>5310784.7387895873</v>
      </c>
      <c r="BI59" s="319">
        <f t="shared" si="73"/>
        <v>5310784.7387895873</v>
      </c>
      <c r="BJ59" s="319">
        <f t="shared" si="73"/>
        <v>5310784.7387895873</v>
      </c>
      <c r="BK59" s="319">
        <f t="shared" si="73"/>
        <v>5310784.7387895873</v>
      </c>
      <c r="BL59" s="319">
        <f t="shared" si="73"/>
        <v>5310784.7387895873</v>
      </c>
      <c r="BM59" s="319">
        <f t="shared" si="73"/>
        <v>5310784.7387895873</v>
      </c>
      <c r="BN59" s="319">
        <f t="shared" si="73"/>
        <v>5310784.7387895873</v>
      </c>
      <c r="BO59" s="319">
        <f t="shared" si="73"/>
        <v>5310784.7387895873</v>
      </c>
      <c r="BP59" s="319">
        <f t="shared" si="73"/>
        <v>5310784.7387895873</v>
      </c>
      <c r="BQ59" s="319">
        <f t="shared" si="73"/>
        <v>5310784.7387895873</v>
      </c>
      <c r="BR59" s="319">
        <f t="shared" si="73"/>
        <v>5310784.7387895873</v>
      </c>
      <c r="BS59" s="319">
        <f t="shared" ref="BS59:CL59" si="74">BS43</f>
        <v>5310784.7387895873</v>
      </c>
      <c r="BT59" s="319">
        <f t="shared" si="74"/>
        <v>5310784.7387895873</v>
      </c>
      <c r="BU59" s="319">
        <f t="shared" si="74"/>
        <v>5310784.7387895873</v>
      </c>
      <c r="BV59" s="319">
        <f t="shared" si="74"/>
        <v>5310784.7387895873</v>
      </c>
      <c r="BW59" s="319">
        <f t="shared" si="74"/>
        <v>5310784.7387895873</v>
      </c>
      <c r="BX59" s="319">
        <f t="shared" si="74"/>
        <v>5310784.7387895873</v>
      </c>
      <c r="BY59" s="319">
        <f t="shared" si="74"/>
        <v>5310784.7387895873</v>
      </c>
      <c r="BZ59" s="319">
        <f t="shared" si="74"/>
        <v>5310784.7387895873</v>
      </c>
      <c r="CA59" s="319">
        <f t="shared" si="74"/>
        <v>5310784.7387895873</v>
      </c>
      <c r="CB59" s="319">
        <f t="shared" si="74"/>
        <v>5310784.7387895873</v>
      </c>
      <c r="CC59" s="319">
        <f t="shared" si="74"/>
        <v>5310784.7387895873</v>
      </c>
      <c r="CD59" s="319">
        <f t="shared" si="74"/>
        <v>5310784.7387895873</v>
      </c>
      <c r="CE59" s="319">
        <f t="shared" si="74"/>
        <v>5310784.7387895873</v>
      </c>
      <c r="CF59" s="319">
        <f t="shared" si="74"/>
        <v>5310784.7387895873</v>
      </c>
      <c r="CG59" s="319">
        <f t="shared" si="74"/>
        <v>5310784.7387895873</v>
      </c>
      <c r="CH59" s="319">
        <f t="shared" si="74"/>
        <v>5310784.7387895873</v>
      </c>
      <c r="CI59" s="319">
        <f t="shared" si="74"/>
        <v>5310784.7387895873</v>
      </c>
      <c r="CJ59" s="319">
        <f t="shared" si="74"/>
        <v>5310784.7387895873</v>
      </c>
      <c r="CK59" s="319">
        <f t="shared" si="74"/>
        <v>5310784.7387895873</v>
      </c>
      <c r="CL59" s="319">
        <f t="shared" si="74"/>
        <v>5310784.7387895873</v>
      </c>
      <c r="CM59" s="359">
        <f t="shared" ref="CM59:CM65" si="75">AVERAGE(G59:CL59)</f>
        <v>5310784.7387895761</v>
      </c>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row>
    <row r="60" spans="1:178">
      <c r="A60" s="1047"/>
      <c r="B60" s="1047"/>
      <c r="C60" s="1047"/>
      <c r="D60" s="1047"/>
      <c r="E60" s="1048"/>
      <c r="F60" s="363" t="s">
        <v>185</v>
      </c>
      <c r="G60" s="482">
        <f t="shared" ref="G60:AL60" si="76">G44</f>
        <v>10430888.041666668</v>
      </c>
      <c r="H60" s="482">
        <f t="shared" si="76"/>
        <v>10430888.041666668</v>
      </c>
      <c r="I60" s="482">
        <f t="shared" si="76"/>
        <v>10430888.041666668</v>
      </c>
      <c r="J60" s="482">
        <f t="shared" si="76"/>
        <v>10430888.041666668</v>
      </c>
      <c r="K60" s="482">
        <f t="shared" si="76"/>
        <v>10430888.041666668</v>
      </c>
      <c r="L60" s="482">
        <f t="shared" si="76"/>
        <v>10430888.041666668</v>
      </c>
      <c r="M60" s="482">
        <f t="shared" si="76"/>
        <v>10430888.041666668</v>
      </c>
      <c r="N60" s="482">
        <f t="shared" si="76"/>
        <v>10430888.041666668</v>
      </c>
      <c r="O60" s="482">
        <f t="shared" si="76"/>
        <v>10430888.041666668</v>
      </c>
      <c r="P60" s="482">
        <f t="shared" si="76"/>
        <v>10430888.041666668</v>
      </c>
      <c r="Q60" s="482">
        <f t="shared" si="76"/>
        <v>10430888.041666668</v>
      </c>
      <c r="R60" s="482">
        <f t="shared" si="76"/>
        <v>10430888.041666668</v>
      </c>
      <c r="S60" s="482">
        <f t="shared" si="76"/>
        <v>10430888.041666668</v>
      </c>
      <c r="T60" s="482">
        <f t="shared" si="76"/>
        <v>10430888.041666668</v>
      </c>
      <c r="U60" s="482">
        <f t="shared" si="76"/>
        <v>10430888.041666668</v>
      </c>
      <c r="V60" s="482">
        <f t="shared" si="76"/>
        <v>10430888.041666668</v>
      </c>
      <c r="W60" s="482">
        <f t="shared" si="76"/>
        <v>10430888.041666668</v>
      </c>
      <c r="X60" s="482">
        <f t="shared" si="76"/>
        <v>10430888.041666668</v>
      </c>
      <c r="Y60" s="482">
        <f t="shared" si="76"/>
        <v>10430888.041666668</v>
      </c>
      <c r="Z60" s="482">
        <f t="shared" si="76"/>
        <v>10430888.041666668</v>
      </c>
      <c r="AA60" s="482">
        <f t="shared" si="76"/>
        <v>10430888.041666668</v>
      </c>
      <c r="AB60" s="482">
        <f t="shared" si="76"/>
        <v>10430888.041666668</v>
      </c>
      <c r="AC60" s="482">
        <f t="shared" si="76"/>
        <v>10430888.041666668</v>
      </c>
      <c r="AD60" s="482">
        <f t="shared" si="76"/>
        <v>10430888.041666668</v>
      </c>
      <c r="AE60" s="482">
        <f t="shared" si="76"/>
        <v>10430888.041666668</v>
      </c>
      <c r="AF60" s="482">
        <f t="shared" si="76"/>
        <v>10430888.041666668</v>
      </c>
      <c r="AG60" s="482">
        <f t="shared" si="76"/>
        <v>10430888.041666668</v>
      </c>
      <c r="AH60" s="482">
        <f t="shared" si="76"/>
        <v>10430888.041666668</v>
      </c>
      <c r="AI60" s="482">
        <f t="shared" si="76"/>
        <v>10430888.041666668</v>
      </c>
      <c r="AJ60" s="482">
        <f t="shared" si="76"/>
        <v>10430888.041666668</v>
      </c>
      <c r="AK60" s="482">
        <f t="shared" si="76"/>
        <v>10430888.041666668</v>
      </c>
      <c r="AL60" s="482">
        <f t="shared" si="76"/>
        <v>10430888.041666668</v>
      </c>
      <c r="AM60" s="482">
        <f t="shared" ref="AM60:BR60" si="77">AM44</f>
        <v>10430888.041666668</v>
      </c>
      <c r="AN60" s="482">
        <f t="shared" si="77"/>
        <v>10430888.041666668</v>
      </c>
      <c r="AO60" s="482">
        <f t="shared" si="77"/>
        <v>10430888.041666668</v>
      </c>
      <c r="AP60" s="482">
        <f t="shared" si="77"/>
        <v>10430888.041666668</v>
      </c>
      <c r="AQ60" s="482">
        <f t="shared" si="77"/>
        <v>10430888.041666668</v>
      </c>
      <c r="AR60" s="482">
        <f t="shared" si="77"/>
        <v>10430888.041666668</v>
      </c>
      <c r="AS60" s="482">
        <f t="shared" si="77"/>
        <v>10430888.041666668</v>
      </c>
      <c r="AT60" s="482">
        <f t="shared" si="77"/>
        <v>10430888.041666668</v>
      </c>
      <c r="AU60" s="319">
        <f t="shared" si="77"/>
        <v>10430888.041666668</v>
      </c>
      <c r="AV60" s="319">
        <f t="shared" si="77"/>
        <v>10430888.041666668</v>
      </c>
      <c r="AW60" s="319">
        <f t="shared" si="77"/>
        <v>10430888.041666668</v>
      </c>
      <c r="AX60" s="319">
        <f t="shared" si="77"/>
        <v>10430888.041666668</v>
      </c>
      <c r="AY60" s="319">
        <f t="shared" si="77"/>
        <v>10430888.041666668</v>
      </c>
      <c r="AZ60" s="319">
        <f t="shared" si="77"/>
        <v>10430888.041666668</v>
      </c>
      <c r="BA60" s="319">
        <f t="shared" si="77"/>
        <v>10430888.041666668</v>
      </c>
      <c r="BB60" s="319">
        <f t="shared" si="77"/>
        <v>10430888.041666668</v>
      </c>
      <c r="BC60" s="319">
        <f t="shared" si="77"/>
        <v>10430888.041666668</v>
      </c>
      <c r="BD60" s="319">
        <f t="shared" si="77"/>
        <v>10430888.041666668</v>
      </c>
      <c r="BE60" s="319">
        <f t="shared" si="77"/>
        <v>10430888.041666668</v>
      </c>
      <c r="BF60" s="319">
        <f t="shared" si="77"/>
        <v>10430888.041666668</v>
      </c>
      <c r="BG60" s="319">
        <f t="shared" si="77"/>
        <v>10430888.041666668</v>
      </c>
      <c r="BH60" s="319">
        <f t="shared" si="77"/>
        <v>10430888.041666668</v>
      </c>
      <c r="BI60" s="319">
        <f t="shared" si="77"/>
        <v>10430888.041666668</v>
      </c>
      <c r="BJ60" s="319">
        <f t="shared" si="77"/>
        <v>10430888.041666668</v>
      </c>
      <c r="BK60" s="319">
        <f t="shared" si="77"/>
        <v>10430888.041666668</v>
      </c>
      <c r="BL60" s="319">
        <f t="shared" si="77"/>
        <v>10430888.041666668</v>
      </c>
      <c r="BM60" s="319">
        <f t="shared" si="77"/>
        <v>10430888.041666668</v>
      </c>
      <c r="BN60" s="319">
        <f t="shared" si="77"/>
        <v>10430888.041666668</v>
      </c>
      <c r="BO60" s="319">
        <f t="shared" si="77"/>
        <v>10430888.041666668</v>
      </c>
      <c r="BP60" s="319">
        <f t="shared" si="77"/>
        <v>10430888.041666668</v>
      </c>
      <c r="BQ60" s="319">
        <f t="shared" si="77"/>
        <v>10430888.041666668</v>
      </c>
      <c r="BR60" s="319">
        <f t="shared" si="77"/>
        <v>10430888.041666668</v>
      </c>
      <c r="BS60" s="319">
        <f t="shared" ref="BS60:CL60" si="78">BS44</f>
        <v>10430888.041666668</v>
      </c>
      <c r="BT60" s="319">
        <f t="shared" si="78"/>
        <v>10430888.041666668</v>
      </c>
      <c r="BU60" s="319">
        <f t="shared" si="78"/>
        <v>10430888.041666668</v>
      </c>
      <c r="BV60" s="319">
        <f t="shared" si="78"/>
        <v>10430888.041666668</v>
      </c>
      <c r="BW60" s="319">
        <f t="shared" si="78"/>
        <v>10430888.041666668</v>
      </c>
      <c r="BX60" s="319">
        <f t="shared" si="78"/>
        <v>10430888.041666668</v>
      </c>
      <c r="BY60" s="319">
        <f t="shared" si="78"/>
        <v>10430888.041666668</v>
      </c>
      <c r="BZ60" s="319">
        <f t="shared" si="78"/>
        <v>10430888.041666668</v>
      </c>
      <c r="CA60" s="319">
        <f t="shared" si="78"/>
        <v>10430888.041666668</v>
      </c>
      <c r="CB60" s="319">
        <f t="shared" si="78"/>
        <v>10430888.041666668</v>
      </c>
      <c r="CC60" s="319">
        <f t="shared" si="78"/>
        <v>10430888.041666668</v>
      </c>
      <c r="CD60" s="319">
        <f t="shared" si="78"/>
        <v>10430888.041666668</v>
      </c>
      <c r="CE60" s="319">
        <f t="shared" si="78"/>
        <v>10430888.041666668</v>
      </c>
      <c r="CF60" s="319">
        <f t="shared" si="78"/>
        <v>10430888.041666668</v>
      </c>
      <c r="CG60" s="319">
        <f t="shared" si="78"/>
        <v>10430888.041666668</v>
      </c>
      <c r="CH60" s="319">
        <f t="shared" si="78"/>
        <v>10430888.041666668</v>
      </c>
      <c r="CI60" s="319">
        <f t="shared" si="78"/>
        <v>10430888.041666668</v>
      </c>
      <c r="CJ60" s="319">
        <f t="shared" si="78"/>
        <v>10430888.041666668</v>
      </c>
      <c r="CK60" s="319">
        <f t="shared" si="78"/>
        <v>10430888.041666668</v>
      </c>
      <c r="CL60" s="319">
        <f t="shared" si="78"/>
        <v>10430888.041666668</v>
      </c>
      <c r="CM60" s="319">
        <f t="shared" si="75"/>
        <v>10430888.041666657</v>
      </c>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row>
    <row r="61" spans="1:178">
      <c r="A61" s="1047"/>
      <c r="B61" s="1047"/>
      <c r="C61" s="1047"/>
      <c r="D61" s="1047"/>
      <c r="E61" s="1048"/>
      <c r="F61" s="486" t="s">
        <v>186</v>
      </c>
      <c r="G61" s="482">
        <f t="shared" ref="G61:AL61" si="79">G42</f>
        <v>477339859.75181001</v>
      </c>
      <c r="H61" s="482">
        <f t="shared" si="79"/>
        <v>477339859.75181001</v>
      </c>
      <c r="I61" s="482">
        <f t="shared" si="79"/>
        <v>477339859.75181001</v>
      </c>
      <c r="J61" s="482">
        <f t="shared" si="79"/>
        <v>477341397.60980999</v>
      </c>
      <c r="K61" s="482">
        <f t="shared" si="79"/>
        <v>477697942.66397667</v>
      </c>
      <c r="L61" s="482">
        <f t="shared" si="79"/>
        <v>477698455.28331</v>
      </c>
      <c r="M61" s="482">
        <f t="shared" si="79"/>
        <v>477698455.28331</v>
      </c>
      <c r="N61" s="482">
        <f t="shared" si="79"/>
        <v>478699877.0237214</v>
      </c>
      <c r="O61" s="482">
        <f t="shared" si="79"/>
        <v>477698967.90264332</v>
      </c>
      <c r="P61" s="482">
        <f t="shared" si="79"/>
        <v>478701799.34622139</v>
      </c>
      <c r="Q61" s="482">
        <f t="shared" si="79"/>
        <v>479702708.46730095</v>
      </c>
      <c r="R61" s="482">
        <f t="shared" si="79"/>
        <v>480703617.58838046</v>
      </c>
      <c r="S61" s="482">
        <f t="shared" si="79"/>
        <v>481705039.32879186</v>
      </c>
      <c r="T61" s="482">
        <f t="shared" si="79"/>
        <v>482707675.01980197</v>
      </c>
      <c r="U61" s="482">
        <f t="shared" si="79"/>
        <v>483708770.14262933</v>
      </c>
      <c r="V61" s="482">
        <f t="shared" si="79"/>
        <v>484791866.97104126</v>
      </c>
      <c r="W61" s="482">
        <f t="shared" si="79"/>
        <v>485763063.50553155</v>
      </c>
      <c r="X61" s="482">
        <f t="shared" si="79"/>
        <v>486734260.04002035</v>
      </c>
      <c r="Y61" s="482">
        <f t="shared" si="79"/>
        <v>487705456.57451063</v>
      </c>
      <c r="Z61" s="482">
        <f t="shared" si="79"/>
        <v>488676653.10900104</v>
      </c>
      <c r="AA61" s="482">
        <f t="shared" si="79"/>
        <v>489647849.64348972</v>
      </c>
      <c r="AB61" s="482">
        <f t="shared" si="79"/>
        <v>490619046.17798007</v>
      </c>
      <c r="AC61" s="482">
        <f t="shared" si="79"/>
        <v>491590242.71247041</v>
      </c>
      <c r="AD61" s="482">
        <f t="shared" si="79"/>
        <v>492561439.24695915</v>
      </c>
      <c r="AE61" s="482">
        <f t="shared" si="79"/>
        <v>493533989.38562572</v>
      </c>
      <c r="AF61" s="482">
        <f t="shared" si="79"/>
        <v>494503832.31593835</v>
      </c>
      <c r="AG61" s="482">
        <f t="shared" si="79"/>
        <v>495475369.67694241</v>
      </c>
      <c r="AH61" s="482">
        <f t="shared" si="79"/>
        <v>496446225.38491893</v>
      </c>
      <c r="AI61" s="482">
        <f t="shared" si="79"/>
        <v>497417421.91940773</v>
      </c>
      <c r="AJ61" s="482">
        <f t="shared" si="79"/>
        <v>498388618.45389795</v>
      </c>
      <c r="AK61" s="482">
        <f t="shared" si="79"/>
        <v>499359814.98838836</v>
      </c>
      <c r="AL61" s="482">
        <f t="shared" si="79"/>
        <v>500331011.5228771</v>
      </c>
      <c r="AM61" s="482">
        <f t="shared" ref="AM61:BR61" si="80">AM42</f>
        <v>501302208.05736738</v>
      </c>
      <c r="AN61" s="482">
        <f t="shared" si="80"/>
        <v>502273404.59185624</v>
      </c>
      <c r="AO61" s="482">
        <f t="shared" si="80"/>
        <v>503244601.12634659</v>
      </c>
      <c r="AP61" s="482">
        <f t="shared" si="80"/>
        <v>504215797.66083676</v>
      </c>
      <c r="AQ61" s="482">
        <f t="shared" si="80"/>
        <v>505186994.19532567</v>
      </c>
      <c r="AR61" s="482">
        <f t="shared" si="80"/>
        <v>506158190.72981596</v>
      </c>
      <c r="AS61" s="482">
        <f t="shared" si="80"/>
        <v>507129387.26430625</v>
      </c>
      <c r="AT61" s="482">
        <f t="shared" si="80"/>
        <v>397254100.50479406</v>
      </c>
      <c r="AU61" s="319">
        <f t="shared" si="80"/>
        <v>483920683.09937733</v>
      </c>
      <c r="AV61" s="319">
        <f t="shared" si="80"/>
        <v>486492852.50090003</v>
      </c>
      <c r="AW61" s="319">
        <f t="shared" si="80"/>
        <v>470003230.81086928</v>
      </c>
      <c r="AX61" s="319">
        <f t="shared" si="80"/>
        <v>510457950.34473151</v>
      </c>
      <c r="AY61" s="319">
        <f t="shared" si="80"/>
        <v>553162168.22842276</v>
      </c>
      <c r="AZ61" s="319">
        <f t="shared" si="80"/>
        <v>565427599.63092494</v>
      </c>
      <c r="BA61" s="319">
        <f t="shared" si="80"/>
        <v>573239306.3241235</v>
      </c>
      <c r="BB61" s="319">
        <f t="shared" si="80"/>
        <v>564522945.84526408</v>
      </c>
      <c r="BC61" s="319">
        <f t="shared" si="80"/>
        <v>604665574.54017556</v>
      </c>
      <c r="BD61" s="319">
        <f t="shared" si="80"/>
        <v>572421107.51355517</v>
      </c>
      <c r="BE61" s="319">
        <f t="shared" si="80"/>
        <v>539028918.27821779</v>
      </c>
      <c r="BF61" s="319">
        <f t="shared" si="80"/>
        <v>533379218.89280331</v>
      </c>
      <c r="BG61" s="319">
        <f t="shared" si="80"/>
        <v>575250253.40292633</v>
      </c>
      <c r="BH61" s="319">
        <f t="shared" si="80"/>
        <v>517505070.30937654</v>
      </c>
      <c r="BI61" s="319">
        <f t="shared" si="80"/>
        <v>462028288.04331738</v>
      </c>
      <c r="BJ61" s="319">
        <f t="shared" si="80"/>
        <v>452326461.49762744</v>
      </c>
      <c r="BK61" s="319">
        <f t="shared" si="80"/>
        <v>478102151.58679408</v>
      </c>
      <c r="BL61" s="319">
        <f t="shared" si="80"/>
        <v>516531987.22804409</v>
      </c>
      <c r="BM61" s="319">
        <f t="shared" si="80"/>
        <v>477081672.95679414</v>
      </c>
      <c r="BN61" s="319">
        <f t="shared" si="80"/>
        <v>463412733.35696065</v>
      </c>
      <c r="BO61" s="319">
        <f t="shared" si="80"/>
        <v>545296724.03421068</v>
      </c>
      <c r="BP61" s="319">
        <f t="shared" si="80"/>
        <v>536313244.1419608</v>
      </c>
      <c r="BQ61" s="319">
        <f t="shared" si="80"/>
        <v>585625301.68612742</v>
      </c>
      <c r="BR61" s="319">
        <f t="shared" si="80"/>
        <v>507446624.24329406</v>
      </c>
      <c r="BS61" s="319">
        <f t="shared" ref="BS61:CL61" si="81">BS42</f>
        <v>488115950.56946075</v>
      </c>
      <c r="BT61" s="319">
        <f t="shared" si="81"/>
        <v>362489410.71162736</v>
      </c>
      <c r="BU61" s="319">
        <f t="shared" si="81"/>
        <v>435571461.97196072</v>
      </c>
      <c r="BV61" s="319">
        <f t="shared" si="81"/>
        <v>417692269.94046074</v>
      </c>
      <c r="BW61" s="319">
        <f t="shared" si="81"/>
        <v>316219858.75779402</v>
      </c>
      <c r="BX61" s="319">
        <f t="shared" si="81"/>
        <v>304150328.09362733</v>
      </c>
      <c r="BY61" s="319">
        <f t="shared" si="81"/>
        <v>347160133.70679402</v>
      </c>
      <c r="BZ61" s="319">
        <f t="shared" si="81"/>
        <v>399202612.36037743</v>
      </c>
      <c r="CA61" s="319">
        <f t="shared" si="81"/>
        <v>416833751.55804408</v>
      </c>
      <c r="CB61" s="319">
        <f t="shared" si="81"/>
        <v>454482913.72421074</v>
      </c>
      <c r="CC61" s="319">
        <f t="shared" si="81"/>
        <v>487440299.98029405</v>
      </c>
      <c r="CD61" s="319">
        <f t="shared" si="81"/>
        <v>553214450.02462733</v>
      </c>
      <c r="CE61" s="319">
        <f t="shared" si="81"/>
        <v>642408447.31871068</v>
      </c>
      <c r="CF61" s="319">
        <f t="shared" si="81"/>
        <v>575209700.68529415</v>
      </c>
      <c r="CG61" s="319">
        <f t="shared" si="81"/>
        <v>489513662.10529411</v>
      </c>
      <c r="CH61" s="319">
        <f t="shared" si="81"/>
        <v>485062579.28004408</v>
      </c>
      <c r="CI61" s="319">
        <f t="shared" si="81"/>
        <v>524684300.64087737</v>
      </c>
      <c r="CJ61" s="319">
        <f t="shared" si="81"/>
        <v>585379720.40979409</v>
      </c>
      <c r="CK61" s="319">
        <f t="shared" si="81"/>
        <v>667583905.9381274</v>
      </c>
      <c r="CL61" s="319">
        <f t="shared" si="81"/>
        <v>716866908.9507941</v>
      </c>
      <c r="CM61" s="319">
        <f t="shared" si="75"/>
        <v>496777617.45119029</v>
      </c>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c r="FP61" s="58"/>
      <c r="FQ61" s="58"/>
      <c r="FR61" s="58"/>
      <c r="FS61" s="58"/>
      <c r="FT61" s="58"/>
      <c r="FU61" s="58"/>
      <c r="FV61" s="58"/>
    </row>
    <row r="62" spans="1:178">
      <c r="A62" s="1047"/>
      <c r="B62" s="1047"/>
      <c r="C62" s="1047"/>
      <c r="D62" s="1047"/>
      <c r="E62" s="1048"/>
      <c r="F62" s="363" t="s">
        <v>187</v>
      </c>
      <c r="G62" s="482">
        <f t="shared" ref="G62:AL62" si="82">G46</f>
        <v>286609130.83333337</v>
      </c>
      <c r="H62" s="482">
        <f t="shared" si="82"/>
        <v>286609130.83333337</v>
      </c>
      <c r="I62" s="482">
        <f t="shared" si="82"/>
        <v>286609130.83333337</v>
      </c>
      <c r="J62" s="482">
        <f t="shared" si="82"/>
        <v>286609130.83333337</v>
      </c>
      <c r="K62" s="482">
        <f t="shared" si="82"/>
        <v>286609130.83333337</v>
      </c>
      <c r="L62" s="482">
        <f t="shared" si="82"/>
        <v>286609130.83333337</v>
      </c>
      <c r="M62" s="482">
        <f t="shared" si="82"/>
        <v>286609130.83333337</v>
      </c>
      <c r="N62" s="482">
        <f t="shared" si="82"/>
        <v>286609130.83333337</v>
      </c>
      <c r="O62" s="482">
        <f t="shared" si="82"/>
        <v>286609130.83333337</v>
      </c>
      <c r="P62" s="482">
        <f t="shared" si="82"/>
        <v>286609130.83333337</v>
      </c>
      <c r="Q62" s="482">
        <f t="shared" si="82"/>
        <v>286609130.83333337</v>
      </c>
      <c r="R62" s="482">
        <f t="shared" si="82"/>
        <v>286609130.83333337</v>
      </c>
      <c r="S62" s="482">
        <f t="shared" si="82"/>
        <v>286609130.83333337</v>
      </c>
      <c r="T62" s="482">
        <f t="shared" si="82"/>
        <v>286609130.83333337</v>
      </c>
      <c r="U62" s="482">
        <f t="shared" si="82"/>
        <v>286609130.83333337</v>
      </c>
      <c r="V62" s="482">
        <f t="shared" si="82"/>
        <v>286609130.83333337</v>
      </c>
      <c r="W62" s="482">
        <f t="shared" si="82"/>
        <v>286609130.83333337</v>
      </c>
      <c r="X62" s="482">
        <f t="shared" si="82"/>
        <v>286609130.83333337</v>
      </c>
      <c r="Y62" s="482">
        <f t="shared" si="82"/>
        <v>286609130.83333337</v>
      </c>
      <c r="Z62" s="482">
        <f t="shared" si="82"/>
        <v>286609130.83333337</v>
      </c>
      <c r="AA62" s="482">
        <f t="shared" si="82"/>
        <v>286609130.83333337</v>
      </c>
      <c r="AB62" s="482">
        <f t="shared" si="82"/>
        <v>286609130.83333337</v>
      </c>
      <c r="AC62" s="482">
        <f t="shared" si="82"/>
        <v>286609130.83333337</v>
      </c>
      <c r="AD62" s="482">
        <f t="shared" si="82"/>
        <v>286609130.83333337</v>
      </c>
      <c r="AE62" s="482">
        <f t="shared" si="82"/>
        <v>286609130.83333337</v>
      </c>
      <c r="AF62" s="482">
        <f t="shared" si="82"/>
        <v>286609130.83333337</v>
      </c>
      <c r="AG62" s="482">
        <f t="shared" si="82"/>
        <v>286609130.83333337</v>
      </c>
      <c r="AH62" s="482">
        <f t="shared" si="82"/>
        <v>286609130.83333337</v>
      </c>
      <c r="AI62" s="482">
        <f t="shared" si="82"/>
        <v>286609130.83333337</v>
      </c>
      <c r="AJ62" s="482">
        <f t="shared" si="82"/>
        <v>286609130.83333337</v>
      </c>
      <c r="AK62" s="482">
        <f t="shared" si="82"/>
        <v>286609130.83333337</v>
      </c>
      <c r="AL62" s="482">
        <f t="shared" si="82"/>
        <v>286609130.83333337</v>
      </c>
      <c r="AM62" s="482">
        <f t="shared" ref="AM62:BR62" si="83">AM46</f>
        <v>286609130.83333337</v>
      </c>
      <c r="AN62" s="482">
        <f t="shared" si="83"/>
        <v>286609130.83333337</v>
      </c>
      <c r="AO62" s="482">
        <f t="shared" si="83"/>
        <v>286609130.83333337</v>
      </c>
      <c r="AP62" s="482">
        <f t="shared" si="83"/>
        <v>286609130.83333337</v>
      </c>
      <c r="AQ62" s="482">
        <f t="shared" si="83"/>
        <v>286609130.83333337</v>
      </c>
      <c r="AR62" s="482">
        <f t="shared" si="83"/>
        <v>286609130.83333337</v>
      </c>
      <c r="AS62" s="482">
        <f t="shared" si="83"/>
        <v>286609130.83333337</v>
      </c>
      <c r="AT62" s="482">
        <f t="shared" si="83"/>
        <v>286609130.83333337</v>
      </c>
      <c r="AU62" s="319">
        <f t="shared" si="83"/>
        <v>286609130.83333337</v>
      </c>
      <c r="AV62" s="319">
        <f t="shared" si="83"/>
        <v>286609130.83333337</v>
      </c>
      <c r="AW62" s="319">
        <f t="shared" si="83"/>
        <v>286609130.83333337</v>
      </c>
      <c r="AX62" s="319">
        <f t="shared" si="83"/>
        <v>286609130.83333337</v>
      </c>
      <c r="AY62" s="319">
        <f t="shared" si="83"/>
        <v>286609130.83333337</v>
      </c>
      <c r="AZ62" s="319">
        <f t="shared" si="83"/>
        <v>286609130.83333337</v>
      </c>
      <c r="BA62" s="319">
        <f t="shared" si="83"/>
        <v>286609130.83333337</v>
      </c>
      <c r="BB62" s="319">
        <f t="shared" si="83"/>
        <v>286609130.83333337</v>
      </c>
      <c r="BC62" s="319">
        <f t="shared" si="83"/>
        <v>286609130.83333337</v>
      </c>
      <c r="BD62" s="319">
        <f t="shared" si="83"/>
        <v>286609130.83333337</v>
      </c>
      <c r="BE62" s="319">
        <f t="shared" si="83"/>
        <v>286609130.83333337</v>
      </c>
      <c r="BF62" s="319">
        <f t="shared" si="83"/>
        <v>286609130.83333337</v>
      </c>
      <c r="BG62" s="319">
        <f t="shared" si="83"/>
        <v>286609130.83333337</v>
      </c>
      <c r="BH62" s="319">
        <f t="shared" si="83"/>
        <v>286609130.83333337</v>
      </c>
      <c r="BI62" s="319">
        <f t="shared" si="83"/>
        <v>286609130.83333337</v>
      </c>
      <c r="BJ62" s="319">
        <f t="shared" si="83"/>
        <v>286609130.83333337</v>
      </c>
      <c r="BK62" s="319">
        <f t="shared" si="83"/>
        <v>286609130.83333337</v>
      </c>
      <c r="BL62" s="319">
        <f t="shared" si="83"/>
        <v>286609130.83333337</v>
      </c>
      <c r="BM62" s="319">
        <f t="shared" si="83"/>
        <v>286609130.83333337</v>
      </c>
      <c r="BN62" s="319">
        <f t="shared" si="83"/>
        <v>286609130.83333337</v>
      </c>
      <c r="BO62" s="319">
        <f t="shared" si="83"/>
        <v>286609130.83333337</v>
      </c>
      <c r="BP62" s="319">
        <f t="shared" si="83"/>
        <v>286609130.83333337</v>
      </c>
      <c r="BQ62" s="319">
        <f t="shared" si="83"/>
        <v>286609130.83333337</v>
      </c>
      <c r="BR62" s="319">
        <f t="shared" si="83"/>
        <v>286609130.83333337</v>
      </c>
      <c r="BS62" s="319">
        <f t="shared" ref="BS62:CL62" si="84">BS46</f>
        <v>286609130.83333337</v>
      </c>
      <c r="BT62" s="319">
        <f t="shared" si="84"/>
        <v>286609130.83333337</v>
      </c>
      <c r="BU62" s="319">
        <f t="shared" si="84"/>
        <v>286609130.83333337</v>
      </c>
      <c r="BV62" s="319">
        <f t="shared" si="84"/>
        <v>286609130.83333337</v>
      </c>
      <c r="BW62" s="319">
        <f t="shared" si="84"/>
        <v>286609130.83333337</v>
      </c>
      <c r="BX62" s="319">
        <f t="shared" si="84"/>
        <v>286609130.83333337</v>
      </c>
      <c r="BY62" s="319">
        <f t="shared" si="84"/>
        <v>286609130.83333337</v>
      </c>
      <c r="BZ62" s="319">
        <f t="shared" si="84"/>
        <v>286609130.83333337</v>
      </c>
      <c r="CA62" s="319">
        <f t="shared" si="84"/>
        <v>286609130.83333337</v>
      </c>
      <c r="CB62" s="319">
        <f t="shared" si="84"/>
        <v>286609130.83333337</v>
      </c>
      <c r="CC62" s="319">
        <f t="shared" si="84"/>
        <v>286609130.83333337</v>
      </c>
      <c r="CD62" s="319">
        <f t="shared" si="84"/>
        <v>286609130.83333337</v>
      </c>
      <c r="CE62" s="319">
        <f t="shared" si="84"/>
        <v>286609130.83333337</v>
      </c>
      <c r="CF62" s="319">
        <f t="shared" si="84"/>
        <v>286609130.83333337</v>
      </c>
      <c r="CG62" s="319">
        <f t="shared" si="84"/>
        <v>286609130.83333337</v>
      </c>
      <c r="CH62" s="319">
        <f t="shared" si="84"/>
        <v>286609130.83333337</v>
      </c>
      <c r="CI62" s="319">
        <f t="shared" si="84"/>
        <v>286609130.83333337</v>
      </c>
      <c r="CJ62" s="319">
        <f t="shared" si="84"/>
        <v>286609130.83333337</v>
      </c>
      <c r="CK62" s="319">
        <f t="shared" si="84"/>
        <v>286609130.83333337</v>
      </c>
      <c r="CL62" s="319">
        <f t="shared" si="84"/>
        <v>286609130.83333337</v>
      </c>
      <c r="CM62" s="319">
        <f t="shared" si="75"/>
        <v>286609130.83333313</v>
      </c>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row>
    <row r="63" spans="1:178">
      <c r="A63" s="1047"/>
      <c r="B63" s="1047"/>
      <c r="C63" s="1047"/>
      <c r="D63" s="1047"/>
      <c r="E63" s="1048"/>
      <c r="F63" s="363" t="s">
        <v>188</v>
      </c>
      <c r="G63" s="482">
        <f t="shared" ref="G63:AL63" si="85">G45</f>
        <v>725356356.66666675</v>
      </c>
      <c r="H63" s="482">
        <f t="shared" si="85"/>
        <v>725356356.66666675</v>
      </c>
      <c r="I63" s="482">
        <f t="shared" si="85"/>
        <v>725356356.66666675</v>
      </c>
      <c r="J63" s="482">
        <f t="shared" si="85"/>
        <v>725356356.66666675</v>
      </c>
      <c r="K63" s="482">
        <f t="shared" si="85"/>
        <v>725356356.66666675</v>
      </c>
      <c r="L63" s="482">
        <f t="shared" si="85"/>
        <v>725356356.66666675</v>
      </c>
      <c r="M63" s="482">
        <f t="shared" si="85"/>
        <v>725356356.66666675</v>
      </c>
      <c r="N63" s="482">
        <f t="shared" si="85"/>
        <v>725356356.66666675</v>
      </c>
      <c r="O63" s="482">
        <f t="shared" si="85"/>
        <v>725356356.66666675</v>
      </c>
      <c r="P63" s="482">
        <f t="shared" si="85"/>
        <v>725356356.66666675</v>
      </c>
      <c r="Q63" s="482">
        <f t="shared" si="85"/>
        <v>725356356.66666675</v>
      </c>
      <c r="R63" s="482">
        <f t="shared" si="85"/>
        <v>725356356.66666675</v>
      </c>
      <c r="S63" s="482">
        <f t="shared" si="85"/>
        <v>725356356.66666675</v>
      </c>
      <c r="T63" s="482">
        <f t="shared" si="85"/>
        <v>725356356.66666675</v>
      </c>
      <c r="U63" s="482">
        <f t="shared" si="85"/>
        <v>725356356.66666675</v>
      </c>
      <c r="V63" s="482">
        <f t="shared" si="85"/>
        <v>725356356.66666675</v>
      </c>
      <c r="W63" s="482">
        <f t="shared" si="85"/>
        <v>725356356.66666675</v>
      </c>
      <c r="X63" s="482">
        <f t="shared" si="85"/>
        <v>725356356.66666675</v>
      </c>
      <c r="Y63" s="482">
        <f t="shared" si="85"/>
        <v>725356356.66666675</v>
      </c>
      <c r="Z63" s="482">
        <f t="shared" si="85"/>
        <v>725356356.66666675</v>
      </c>
      <c r="AA63" s="482">
        <f t="shared" si="85"/>
        <v>725356356.66666675</v>
      </c>
      <c r="AB63" s="482">
        <f t="shared" si="85"/>
        <v>725356356.66666675</v>
      </c>
      <c r="AC63" s="482">
        <f t="shared" si="85"/>
        <v>725356356.66666675</v>
      </c>
      <c r="AD63" s="482">
        <f t="shared" si="85"/>
        <v>725356356.66666675</v>
      </c>
      <c r="AE63" s="482">
        <f t="shared" si="85"/>
        <v>725356356.66666675</v>
      </c>
      <c r="AF63" s="482">
        <f t="shared" si="85"/>
        <v>725356356.66666675</v>
      </c>
      <c r="AG63" s="482">
        <f t="shared" si="85"/>
        <v>725356356.66666675</v>
      </c>
      <c r="AH63" s="482">
        <f t="shared" si="85"/>
        <v>725356356.66666675</v>
      </c>
      <c r="AI63" s="482">
        <f t="shared" si="85"/>
        <v>725356356.66666675</v>
      </c>
      <c r="AJ63" s="482">
        <f t="shared" si="85"/>
        <v>725356356.66666675</v>
      </c>
      <c r="AK63" s="482">
        <f t="shared" si="85"/>
        <v>725356356.66666675</v>
      </c>
      <c r="AL63" s="482">
        <f t="shared" si="85"/>
        <v>725356356.66666675</v>
      </c>
      <c r="AM63" s="482">
        <f t="shared" ref="AM63:BR63" si="86">AM45</f>
        <v>725356356.66666675</v>
      </c>
      <c r="AN63" s="482">
        <f t="shared" si="86"/>
        <v>725356356.66666675</v>
      </c>
      <c r="AO63" s="482">
        <f t="shared" si="86"/>
        <v>725356356.66666675</v>
      </c>
      <c r="AP63" s="482">
        <f t="shared" si="86"/>
        <v>725356356.66666675</v>
      </c>
      <c r="AQ63" s="482">
        <f t="shared" si="86"/>
        <v>725356356.66666675</v>
      </c>
      <c r="AR63" s="482">
        <f t="shared" si="86"/>
        <v>725356356.66666675</v>
      </c>
      <c r="AS63" s="482">
        <f t="shared" si="86"/>
        <v>725356356.66666675</v>
      </c>
      <c r="AT63" s="482">
        <f t="shared" si="86"/>
        <v>725356356.66666675</v>
      </c>
      <c r="AU63" s="319">
        <f t="shared" si="86"/>
        <v>725356356.66666675</v>
      </c>
      <c r="AV63" s="319">
        <f t="shared" si="86"/>
        <v>725356356.66666675</v>
      </c>
      <c r="AW63" s="319">
        <f t="shared" si="86"/>
        <v>725356356.66666675</v>
      </c>
      <c r="AX63" s="319">
        <f t="shared" si="86"/>
        <v>725356356.66666675</v>
      </c>
      <c r="AY63" s="319">
        <f t="shared" si="86"/>
        <v>725356356.66666675</v>
      </c>
      <c r="AZ63" s="319">
        <f t="shared" si="86"/>
        <v>725356356.66666675</v>
      </c>
      <c r="BA63" s="319">
        <f t="shared" si="86"/>
        <v>725356356.66666675</v>
      </c>
      <c r="BB63" s="319">
        <f t="shared" si="86"/>
        <v>725356356.66666675</v>
      </c>
      <c r="BC63" s="319">
        <f t="shared" si="86"/>
        <v>725356356.66666675</v>
      </c>
      <c r="BD63" s="319">
        <f t="shared" si="86"/>
        <v>725356356.66666675</v>
      </c>
      <c r="BE63" s="319">
        <f t="shared" si="86"/>
        <v>725356356.66666675</v>
      </c>
      <c r="BF63" s="319">
        <f t="shared" si="86"/>
        <v>725356356.66666675</v>
      </c>
      <c r="BG63" s="319">
        <f t="shared" si="86"/>
        <v>725356356.66666675</v>
      </c>
      <c r="BH63" s="319">
        <f t="shared" si="86"/>
        <v>725356356.66666675</v>
      </c>
      <c r="BI63" s="319">
        <f t="shared" si="86"/>
        <v>725356356.66666675</v>
      </c>
      <c r="BJ63" s="319">
        <f t="shared" si="86"/>
        <v>725356356.66666675</v>
      </c>
      <c r="BK63" s="319">
        <f t="shared" si="86"/>
        <v>725356356.66666675</v>
      </c>
      <c r="BL63" s="319">
        <f t="shared" si="86"/>
        <v>725356356.66666675</v>
      </c>
      <c r="BM63" s="319">
        <f t="shared" si="86"/>
        <v>725356356.66666675</v>
      </c>
      <c r="BN63" s="319">
        <f t="shared" si="86"/>
        <v>725356356.66666675</v>
      </c>
      <c r="BO63" s="319">
        <f t="shared" si="86"/>
        <v>725356356.66666675</v>
      </c>
      <c r="BP63" s="319">
        <f t="shared" si="86"/>
        <v>725356356.66666675</v>
      </c>
      <c r="BQ63" s="319">
        <f t="shared" si="86"/>
        <v>725356356.66666675</v>
      </c>
      <c r="BR63" s="319">
        <f t="shared" si="86"/>
        <v>725356356.66666675</v>
      </c>
      <c r="BS63" s="319">
        <f t="shared" ref="BS63:CL63" si="87">BS45</f>
        <v>725356356.66666675</v>
      </c>
      <c r="BT63" s="319">
        <f t="shared" si="87"/>
        <v>725356356.66666675</v>
      </c>
      <c r="BU63" s="319">
        <f t="shared" si="87"/>
        <v>725356356.66666675</v>
      </c>
      <c r="BV63" s="319">
        <f t="shared" si="87"/>
        <v>725356356.66666675</v>
      </c>
      <c r="BW63" s="319">
        <f t="shared" si="87"/>
        <v>725356356.66666675</v>
      </c>
      <c r="BX63" s="319">
        <f t="shared" si="87"/>
        <v>725356356.66666675</v>
      </c>
      <c r="BY63" s="319">
        <f t="shared" si="87"/>
        <v>725356356.66666675</v>
      </c>
      <c r="BZ63" s="319">
        <f t="shared" si="87"/>
        <v>725356356.66666675</v>
      </c>
      <c r="CA63" s="319">
        <f t="shared" si="87"/>
        <v>725356356.66666675</v>
      </c>
      <c r="CB63" s="319">
        <f t="shared" si="87"/>
        <v>725356356.66666675</v>
      </c>
      <c r="CC63" s="319">
        <f t="shared" si="87"/>
        <v>725356356.66666675</v>
      </c>
      <c r="CD63" s="319">
        <f t="shared" si="87"/>
        <v>725356356.66666675</v>
      </c>
      <c r="CE63" s="319">
        <f t="shared" si="87"/>
        <v>725356356.66666675</v>
      </c>
      <c r="CF63" s="319">
        <f t="shared" si="87"/>
        <v>725356356.66666675</v>
      </c>
      <c r="CG63" s="319">
        <f t="shared" si="87"/>
        <v>725356356.66666675</v>
      </c>
      <c r="CH63" s="319">
        <f t="shared" si="87"/>
        <v>725356356.66666675</v>
      </c>
      <c r="CI63" s="319">
        <f t="shared" si="87"/>
        <v>725356356.66666675</v>
      </c>
      <c r="CJ63" s="319">
        <f t="shared" si="87"/>
        <v>725356356.66666675</v>
      </c>
      <c r="CK63" s="319">
        <f t="shared" si="87"/>
        <v>725356356.66666675</v>
      </c>
      <c r="CL63" s="319">
        <f t="shared" si="87"/>
        <v>725356356.66666675</v>
      </c>
      <c r="CM63" s="319">
        <f t="shared" si="75"/>
        <v>725356356.66666579</v>
      </c>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c r="FP63" s="58"/>
      <c r="FQ63" s="58"/>
      <c r="FR63" s="58"/>
      <c r="FS63" s="58"/>
      <c r="FT63" s="58"/>
      <c r="FU63" s="58"/>
      <c r="FV63" s="58"/>
    </row>
    <row r="64" spans="1:178">
      <c r="A64" s="1047"/>
      <c r="B64" s="1047"/>
      <c r="C64" s="1047"/>
      <c r="D64" s="1047"/>
      <c r="E64" s="1048"/>
      <c r="F64" s="363" t="s">
        <v>189</v>
      </c>
      <c r="G64" s="482">
        <f t="shared" ref="G64:AS64" si="88">SUM(G59:G63)</f>
        <v>1505047020.0322664</v>
      </c>
      <c r="H64" s="482">
        <f t="shared" si="88"/>
        <v>1505047020.0322664</v>
      </c>
      <c r="I64" s="482">
        <f t="shared" si="88"/>
        <v>1505047020.0322664</v>
      </c>
      <c r="J64" s="482">
        <f t="shared" si="88"/>
        <v>1505048557.8902664</v>
      </c>
      <c r="K64" s="482">
        <f t="shared" si="88"/>
        <v>1505405102.944433</v>
      </c>
      <c r="L64" s="482">
        <f t="shared" si="88"/>
        <v>1505405615.5637665</v>
      </c>
      <c r="M64" s="482">
        <f t="shared" si="88"/>
        <v>1505405615.5637665</v>
      </c>
      <c r="N64" s="482">
        <f t="shared" si="88"/>
        <v>1506407037.3041778</v>
      </c>
      <c r="O64" s="482">
        <f t="shared" si="88"/>
        <v>1505406128.1830997</v>
      </c>
      <c r="P64" s="482">
        <f t="shared" si="88"/>
        <v>1506408959.6266778</v>
      </c>
      <c r="Q64" s="482">
        <f t="shared" si="88"/>
        <v>1507409868.7477574</v>
      </c>
      <c r="R64" s="482">
        <f t="shared" si="88"/>
        <v>1508410777.8688369</v>
      </c>
      <c r="S64" s="482">
        <f t="shared" si="88"/>
        <v>1509412199.6092482</v>
      </c>
      <c r="T64" s="482">
        <f t="shared" si="88"/>
        <v>1510414835.3002584</v>
      </c>
      <c r="U64" s="482">
        <f t="shared" si="88"/>
        <v>1511415930.4230857</v>
      </c>
      <c r="V64" s="482">
        <f t="shared" si="88"/>
        <v>1512499027.2514977</v>
      </c>
      <c r="W64" s="482">
        <f t="shared" si="88"/>
        <v>1513470223.7859879</v>
      </c>
      <c r="X64" s="482">
        <f t="shared" si="88"/>
        <v>1514441420.3204768</v>
      </c>
      <c r="Y64" s="482">
        <f t="shared" si="88"/>
        <v>1515412616.8549671</v>
      </c>
      <c r="Z64" s="482">
        <f t="shared" si="88"/>
        <v>1516383813.3894575</v>
      </c>
      <c r="AA64" s="482">
        <f t="shared" si="88"/>
        <v>1517355009.9239461</v>
      </c>
      <c r="AB64" s="482">
        <f t="shared" si="88"/>
        <v>1518326206.4584365</v>
      </c>
      <c r="AC64" s="482">
        <f t="shared" si="88"/>
        <v>1519297402.9929268</v>
      </c>
      <c r="AD64" s="482">
        <f t="shared" si="88"/>
        <v>1520268599.5274155</v>
      </c>
      <c r="AE64" s="482">
        <f t="shared" si="88"/>
        <v>1521241149.6660821</v>
      </c>
      <c r="AF64" s="482">
        <f t="shared" si="88"/>
        <v>1522210992.5963948</v>
      </c>
      <c r="AG64" s="482">
        <f t="shared" si="88"/>
        <v>1523182529.9573989</v>
      </c>
      <c r="AH64" s="482">
        <f t="shared" si="88"/>
        <v>1524153385.6653752</v>
      </c>
      <c r="AI64" s="482">
        <f t="shared" si="88"/>
        <v>1525124582.1998641</v>
      </c>
      <c r="AJ64" s="482">
        <f t="shared" si="88"/>
        <v>1526095778.7343543</v>
      </c>
      <c r="AK64" s="482">
        <f t="shared" si="88"/>
        <v>1527066975.2688446</v>
      </c>
      <c r="AL64" s="482">
        <f t="shared" si="88"/>
        <v>1528038171.8033335</v>
      </c>
      <c r="AM64" s="482">
        <f t="shared" si="88"/>
        <v>1529009368.3378239</v>
      </c>
      <c r="AN64" s="482">
        <f t="shared" si="88"/>
        <v>1529980564.8723125</v>
      </c>
      <c r="AO64" s="482">
        <f t="shared" si="88"/>
        <v>1530951761.4068029</v>
      </c>
      <c r="AP64" s="482">
        <f t="shared" si="88"/>
        <v>1531922957.9412932</v>
      </c>
      <c r="AQ64" s="482">
        <f t="shared" si="88"/>
        <v>1532894154.4757819</v>
      </c>
      <c r="AR64" s="482">
        <f t="shared" si="88"/>
        <v>1533865351.0102723</v>
      </c>
      <c r="AS64" s="482">
        <f t="shared" si="88"/>
        <v>1534836547.5447626</v>
      </c>
      <c r="AT64" s="482">
        <f>SUM(AT59:AT63)</f>
        <v>1424961260.7852504</v>
      </c>
      <c r="AU64" s="319">
        <f>SUM(AU59:AU63)</f>
        <v>1511627843.3798337</v>
      </c>
      <c r="AV64" s="319">
        <f t="shared" ref="AV64:CL64" si="89">SUM(AV59:AV63)</f>
        <v>1514200012.7813563</v>
      </c>
      <c r="AW64" s="319">
        <f t="shared" si="89"/>
        <v>1497710391.0913258</v>
      </c>
      <c r="AX64" s="319">
        <f t="shared" si="89"/>
        <v>1538165110.6251879</v>
      </c>
      <c r="AY64" s="319">
        <f t="shared" si="89"/>
        <v>1580869328.5088792</v>
      </c>
      <c r="AZ64" s="319">
        <f t="shared" si="89"/>
        <v>1593134759.9113812</v>
      </c>
      <c r="BA64" s="319">
        <f t="shared" si="89"/>
        <v>1600946466.6045799</v>
      </c>
      <c r="BB64" s="319">
        <f t="shared" si="89"/>
        <v>1592230106.1257205</v>
      </c>
      <c r="BC64" s="319">
        <f t="shared" si="89"/>
        <v>1632372734.820632</v>
      </c>
      <c r="BD64" s="319">
        <f t="shared" si="89"/>
        <v>1600128267.7940116</v>
      </c>
      <c r="BE64" s="319">
        <f t="shared" si="89"/>
        <v>1566736078.5586743</v>
      </c>
      <c r="BF64" s="319">
        <f t="shared" si="89"/>
        <v>1561086379.1732597</v>
      </c>
      <c r="BG64" s="319">
        <f t="shared" si="89"/>
        <v>1602957413.6833827</v>
      </c>
      <c r="BH64" s="319">
        <f t="shared" si="89"/>
        <v>1545212230.5898328</v>
      </c>
      <c r="BI64" s="319">
        <f t="shared" si="89"/>
        <v>1489735448.3237739</v>
      </c>
      <c r="BJ64" s="319">
        <f t="shared" si="89"/>
        <v>1480033621.7780838</v>
      </c>
      <c r="BK64" s="319">
        <f t="shared" si="89"/>
        <v>1505809311.8672504</v>
      </c>
      <c r="BL64" s="319">
        <f t="shared" si="89"/>
        <v>1544239147.5085006</v>
      </c>
      <c r="BM64" s="319">
        <f t="shared" si="89"/>
        <v>1504788833.2372506</v>
      </c>
      <c r="BN64" s="319">
        <f t="shared" si="89"/>
        <v>1491119893.6374171</v>
      </c>
      <c r="BO64" s="319">
        <f t="shared" si="89"/>
        <v>1573003884.3146672</v>
      </c>
      <c r="BP64" s="319">
        <f t="shared" si="89"/>
        <v>1564020404.4224172</v>
      </c>
      <c r="BQ64" s="319">
        <f t="shared" si="89"/>
        <v>1613332461.9665837</v>
      </c>
      <c r="BR64" s="319">
        <f t="shared" si="89"/>
        <v>1535153784.5237503</v>
      </c>
      <c r="BS64" s="319">
        <f t="shared" si="89"/>
        <v>1515823110.8499172</v>
      </c>
      <c r="BT64" s="319">
        <f t="shared" si="89"/>
        <v>1390196570.9920838</v>
      </c>
      <c r="BU64" s="319">
        <f t="shared" si="89"/>
        <v>1463278622.2524171</v>
      </c>
      <c r="BV64" s="319">
        <f t="shared" si="89"/>
        <v>1445399430.2209172</v>
      </c>
      <c r="BW64" s="319">
        <f t="shared" si="89"/>
        <v>1343927019.0382504</v>
      </c>
      <c r="BX64" s="319">
        <f t="shared" si="89"/>
        <v>1331857488.3740838</v>
      </c>
      <c r="BY64" s="319">
        <f t="shared" si="89"/>
        <v>1374867293.9872503</v>
      </c>
      <c r="BZ64" s="319">
        <f t="shared" si="89"/>
        <v>1426909772.6408339</v>
      </c>
      <c r="CA64" s="319">
        <f t="shared" si="89"/>
        <v>1444540911.8385005</v>
      </c>
      <c r="CB64" s="319">
        <f t="shared" si="89"/>
        <v>1482190074.004667</v>
      </c>
      <c r="CC64" s="319">
        <f t="shared" si="89"/>
        <v>1515147460.2607503</v>
      </c>
      <c r="CD64" s="319">
        <f t="shared" si="89"/>
        <v>1580921610.3050838</v>
      </c>
      <c r="CE64" s="319">
        <f t="shared" si="89"/>
        <v>1670115607.5991671</v>
      </c>
      <c r="CF64" s="319">
        <f t="shared" si="89"/>
        <v>1602916860.9657507</v>
      </c>
      <c r="CG64" s="319">
        <f t="shared" si="89"/>
        <v>1517220822.3857505</v>
      </c>
      <c r="CH64" s="319">
        <f t="shared" si="89"/>
        <v>1512769739.5605004</v>
      </c>
      <c r="CI64" s="319">
        <f t="shared" si="89"/>
        <v>1552391460.9213338</v>
      </c>
      <c r="CJ64" s="319">
        <f t="shared" si="89"/>
        <v>1613086880.6902504</v>
      </c>
      <c r="CK64" s="319">
        <f t="shared" si="89"/>
        <v>1695291066.2185838</v>
      </c>
      <c r="CL64" s="319">
        <f t="shared" si="89"/>
        <v>1744574069.2312505</v>
      </c>
      <c r="CM64" s="319">
        <f t="shared" si="75"/>
        <v>1524484777.7316465</v>
      </c>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c r="FP64" s="58"/>
      <c r="FQ64" s="58"/>
      <c r="FR64" s="58"/>
      <c r="FS64" s="58"/>
      <c r="FT64" s="58"/>
      <c r="FU64" s="58"/>
      <c r="FV64" s="58"/>
    </row>
    <row r="65" spans="1:178">
      <c r="A65" s="1047"/>
      <c r="B65" s="1047"/>
      <c r="C65" s="1047"/>
      <c r="D65" s="1047"/>
      <c r="E65" s="1048"/>
      <c r="F65" s="363" t="s">
        <v>190</v>
      </c>
      <c r="G65" s="482">
        <f t="shared" ref="G65:AL65" si="90">(0.101511101973684*G18*0.85*G4/0.685)+(0.20964*G17*0.5/0.82)</f>
        <v>198714873.57718801</v>
      </c>
      <c r="H65" s="482">
        <f t="shared" si="90"/>
        <v>165777945.00215021</v>
      </c>
      <c r="I65" s="482">
        <f t="shared" si="90"/>
        <v>152012319.4964475</v>
      </c>
      <c r="J65" s="482">
        <f t="shared" si="90"/>
        <v>116301001.07709037</v>
      </c>
      <c r="K65" s="482">
        <f t="shared" si="90"/>
        <v>123006816.35015295</v>
      </c>
      <c r="L65" s="482">
        <f t="shared" si="90"/>
        <v>137657753.31324193</v>
      </c>
      <c r="M65" s="482">
        <f t="shared" si="90"/>
        <v>127136069.30639859</v>
      </c>
      <c r="N65" s="482">
        <f t="shared" si="90"/>
        <v>130635836.05168788</v>
      </c>
      <c r="O65" s="482">
        <f t="shared" si="90"/>
        <v>113885499.26342936</v>
      </c>
      <c r="P65" s="482">
        <f t="shared" si="90"/>
        <v>110753086.54257558</v>
      </c>
      <c r="Q65" s="482">
        <f t="shared" si="90"/>
        <v>104668348.08020926</v>
      </c>
      <c r="R65" s="482">
        <f t="shared" si="90"/>
        <v>91870749.574968517</v>
      </c>
      <c r="S65" s="482">
        <f t="shared" si="90"/>
        <v>103188912.50765723</v>
      </c>
      <c r="T65" s="482">
        <f t="shared" si="90"/>
        <v>115130738.11233452</v>
      </c>
      <c r="U65" s="482">
        <f t="shared" si="90"/>
        <v>134831172.09069958</v>
      </c>
      <c r="V65" s="482">
        <f t="shared" si="90"/>
        <v>102290357.49863544</v>
      </c>
      <c r="W65" s="482">
        <f t="shared" si="90"/>
        <v>85423951.945928738</v>
      </c>
      <c r="X65" s="482">
        <f t="shared" si="90"/>
        <v>84927752.042920172</v>
      </c>
      <c r="Y65" s="482">
        <f t="shared" si="90"/>
        <v>93543187.527015612</v>
      </c>
      <c r="Z65" s="482">
        <f t="shared" si="90"/>
        <v>95620201.280316919</v>
      </c>
      <c r="AA65" s="482">
        <f t="shared" si="90"/>
        <v>97451310.656905994</v>
      </c>
      <c r="AB65" s="482">
        <f t="shared" si="90"/>
        <v>86833510.962439761</v>
      </c>
      <c r="AC65" s="482">
        <f t="shared" si="90"/>
        <v>83838746.946051836</v>
      </c>
      <c r="AD65" s="482">
        <f t="shared" si="90"/>
        <v>86534912.790717795</v>
      </c>
      <c r="AE65" s="482">
        <f t="shared" si="90"/>
        <v>99682014.645652413</v>
      </c>
      <c r="AF65" s="482">
        <f t="shared" si="90"/>
        <v>116205910.53079571</v>
      </c>
      <c r="AG65" s="482">
        <f t="shared" si="90"/>
        <v>113136496.97147729</v>
      </c>
      <c r="AH65" s="482">
        <f t="shared" si="90"/>
        <v>130038031.7208572</v>
      </c>
      <c r="AI65" s="482">
        <f t="shared" si="90"/>
        <v>149833334.04618961</v>
      </c>
      <c r="AJ65" s="482">
        <f t="shared" si="90"/>
        <v>138565644.21326968</v>
      </c>
      <c r="AK65" s="482">
        <f t="shared" si="90"/>
        <v>121646544.86555322</v>
      </c>
      <c r="AL65" s="482">
        <f t="shared" si="90"/>
        <v>108920993.37069666</v>
      </c>
      <c r="AM65" s="482">
        <f t="shared" ref="AM65:BR65" si="91">(0.101511101973684*AM18*0.85*AM4/0.685)+(0.20964*AM17*0.5/0.82)</f>
        <v>108964904.86653812</v>
      </c>
      <c r="AN65" s="482">
        <f t="shared" si="91"/>
        <v>97504004.451915756</v>
      </c>
      <c r="AO65" s="482">
        <f t="shared" si="91"/>
        <v>118032628.75780064</v>
      </c>
      <c r="AP65" s="482">
        <f t="shared" si="91"/>
        <v>135961692.5098708</v>
      </c>
      <c r="AQ65" s="482">
        <f t="shared" si="91"/>
        <v>164126525.94258645</v>
      </c>
      <c r="AR65" s="482">
        <f t="shared" si="91"/>
        <v>163691802.13375595</v>
      </c>
      <c r="AS65" s="482">
        <f t="shared" si="91"/>
        <v>166181583.94796702</v>
      </c>
      <c r="AT65" s="482">
        <f t="shared" si="91"/>
        <v>164987191.26107919</v>
      </c>
      <c r="AU65" s="319">
        <f t="shared" si="91"/>
        <v>148792631.59474686</v>
      </c>
      <c r="AV65" s="319">
        <f t="shared" si="91"/>
        <v>137160476.3463428</v>
      </c>
      <c r="AW65" s="319">
        <f t="shared" si="91"/>
        <v>137265863.93636233</v>
      </c>
      <c r="AX65" s="319">
        <f t="shared" si="91"/>
        <v>148142741.4562932</v>
      </c>
      <c r="AY65" s="319">
        <f t="shared" si="91"/>
        <v>167046640.41604388</v>
      </c>
      <c r="AZ65" s="319">
        <f t="shared" si="91"/>
        <v>167323282.83984512</v>
      </c>
      <c r="BA65" s="319">
        <f t="shared" si="91"/>
        <v>177879606.4401333</v>
      </c>
      <c r="BB65" s="319">
        <f t="shared" si="91"/>
        <v>189986005.84362522</v>
      </c>
      <c r="BC65" s="319">
        <f t="shared" si="91"/>
        <v>211151346.83921134</v>
      </c>
      <c r="BD65" s="319">
        <f t="shared" si="91"/>
        <v>168956790.48514763</v>
      </c>
      <c r="BE65" s="319">
        <f t="shared" si="91"/>
        <v>138359260.18281481</v>
      </c>
      <c r="BF65" s="319">
        <f t="shared" si="91"/>
        <v>133638774.37985732</v>
      </c>
      <c r="BG65" s="319">
        <f t="shared" si="91"/>
        <v>137489812.56515381</v>
      </c>
      <c r="BH65" s="319">
        <f t="shared" si="91"/>
        <v>149363481.04068592</v>
      </c>
      <c r="BI65" s="319">
        <f t="shared" si="91"/>
        <v>156898693.72708133</v>
      </c>
      <c r="BJ65" s="319">
        <f t="shared" si="91"/>
        <v>160846337.20322904</v>
      </c>
      <c r="BK65" s="319">
        <f t="shared" si="91"/>
        <v>131131427.96730967</v>
      </c>
      <c r="BL65" s="319">
        <f t="shared" si="91"/>
        <v>113334098.7027639</v>
      </c>
      <c r="BM65" s="319">
        <f t="shared" si="91"/>
        <v>115573584.99067861</v>
      </c>
      <c r="BN65" s="319">
        <f t="shared" si="91"/>
        <v>109197635.79449791</v>
      </c>
      <c r="BO65" s="319">
        <f t="shared" si="91"/>
        <v>130766962.55182551</v>
      </c>
      <c r="BP65" s="319">
        <f t="shared" si="91"/>
        <v>135197632.48222932</v>
      </c>
      <c r="BQ65" s="319">
        <f t="shared" si="91"/>
        <v>137564462.10808426</v>
      </c>
      <c r="BR65" s="319">
        <f t="shared" si="91"/>
        <v>176825730.53993812</v>
      </c>
      <c r="BS65" s="319">
        <f t="shared" ref="BS65:CL65" si="92">(0.101511101973684*BS18*0.85*BS4/0.685)+(0.20964*BS17*0.5/0.82)</f>
        <v>159375302.09253997</v>
      </c>
      <c r="BT65" s="319">
        <f t="shared" si="92"/>
        <v>141288156.95544049</v>
      </c>
      <c r="BU65" s="319">
        <f t="shared" si="92"/>
        <v>76931468.6501894</v>
      </c>
      <c r="BV65" s="319">
        <f t="shared" si="92"/>
        <v>113101367.77480412</v>
      </c>
      <c r="BW65" s="319">
        <f t="shared" si="92"/>
        <v>116447423.75792375</v>
      </c>
      <c r="BX65" s="319">
        <f t="shared" si="92"/>
        <v>118392703.02370065</v>
      </c>
      <c r="BY65" s="319">
        <f t="shared" si="92"/>
        <v>119257759.49177752</v>
      </c>
      <c r="BZ65" s="319">
        <f t="shared" si="92"/>
        <v>117755986.33399943</v>
      </c>
      <c r="CA65" s="319">
        <f t="shared" si="92"/>
        <v>121325990.94591053</v>
      </c>
      <c r="CB65" s="319">
        <f t="shared" si="92"/>
        <v>139975203.2297807</v>
      </c>
      <c r="CC65" s="319">
        <f t="shared" si="92"/>
        <v>145363143.76952845</v>
      </c>
      <c r="CD65" s="319">
        <f t="shared" si="92"/>
        <v>176500785.47071129</v>
      </c>
      <c r="CE65" s="319">
        <f t="shared" si="92"/>
        <v>193907302.42226803</v>
      </c>
      <c r="CF65" s="319">
        <f t="shared" si="92"/>
        <v>199817789.76252919</v>
      </c>
      <c r="CG65" s="319">
        <f t="shared" si="92"/>
        <v>183206070.885703</v>
      </c>
      <c r="CH65" s="319">
        <f t="shared" si="92"/>
        <v>158567330.56905699</v>
      </c>
      <c r="CI65" s="319">
        <f t="shared" si="92"/>
        <v>171674912.07773429</v>
      </c>
      <c r="CJ65" s="319">
        <f t="shared" si="92"/>
        <v>202755468.83432323</v>
      </c>
      <c r="CK65" s="319">
        <f t="shared" si="92"/>
        <v>214365668.33480659</v>
      </c>
      <c r="CL65" s="319">
        <f t="shared" si="92"/>
        <v>215081425.71702248</v>
      </c>
      <c r="CM65" s="319">
        <f t="shared" si="75"/>
        <v>136958320.19960496</v>
      </c>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row>
    <row r="66" spans="1:178">
      <c r="A66" s="1047"/>
      <c r="B66" s="1047"/>
      <c r="C66" s="1047"/>
      <c r="D66" s="1047"/>
      <c r="E66" s="1048"/>
      <c r="F66" s="363" t="s">
        <v>191</v>
      </c>
      <c r="G66" s="482">
        <f t="shared" ref="G66:AL66" si="93">G47+G48+G49+G50+G64+G65</f>
        <v>10017493680.181686</v>
      </c>
      <c r="H66" s="482">
        <f t="shared" si="93"/>
        <v>9237332080.4496937</v>
      </c>
      <c r="I66" s="482">
        <f t="shared" si="93"/>
        <v>8138638110.1065626</v>
      </c>
      <c r="J66" s="482">
        <f t="shared" si="93"/>
        <v>6974946582.0129042</v>
      </c>
      <c r="K66" s="482">
        <f t="shared" si="93"/>
        <v>7834940212.9773149</v>
      </c>
      <c r="L66" s="482">
        <f t="shared" si="93"/>
        <v>7900155150.5375776</v>
      </c>
      <c r="M66" s="482">
        <f t="shared" si="93"/>
        <v>8056095662.0913601</v>
      </c>
      <c r="N66" s="482">
        <f t="shared" si="93"/>
        <v>8381082369.4942083</v>
      </c>
      <c r="O66" s="482">
        <f t="shared" si="93"/>
        <v>8056996915.733902</v>
      </c>
      <c r="P66" s="482">
        <f t="shared" si="93"/>
        <v>7433751137.3181629</v>
      </c>
      <c r="Q66" s="482">
        <f t="shared" si="93"/>
        <v>6989968250.0625477</v>
      </c>
      <c r="R66" s="482">
        <f t="shared" si="93"/>
        <v>7087196972.1449566</v>
      </c>
      <c r="S66" s="482">
        <f t="shared" si="93"/>
        <v>7283129331.8680973</v>
      </c>
      <c r="T66" s="482">
        <f t="shared" si="93"/>
        <v>7473675614.2611132</v>
      </c>
      <c r="U66" s="482">
        <f t="shared" si="93"/>
        <v>7238727538.1495657</v>
      </c>
      <c r="V66" s="482">
        <f t="shared" si="93"/>
        <v>6341600192.2522573</v>
      </c>
      <c r="W66" s="482">
        <f t="shared" si="93"/>
        <v>6043445390.9632607</v>
      </c>
      <c r="X66" s="482">
        <f t="shared" si="93"/>
        <v>6363281457.4555769</v>
      </c>
      <c r="Y66" s="482">
        <f t="shared" si="93"/>
        <v>6572223656.353384</v>
      </c>
      <c r="Z66" s="482">
        <f t="shared" si="93"/>
        <v>6790189028.9766312</v>
      </c>
      <c r="AA66" s="482">
        <f t="shared" si="93"/>
        <v>6913196685.5157623</v>
      </c>
      <c r="AB66" s="482">
        <f t="shared" si="93"/>
        <v>6485431534.191802</v>
      </c>
      <c r="AC66" s="482">
        <f t="shared" si="93"/>
        <v>6324984154.1524773</v>
      </c>
      <c r="AD66" s="482">
        <f t="shared" si="93"/>
        <v>6567261868.7877388</v>
      </c>
      <c r="AE66" s="482">
        <f t="shared" si="93"/>
        <v>6995041545.9924374</v>
      </c>
      <c r="AF66" s="482">
        <f t="shared" si="93"/>
        <v>7152067181.3542547</v>
      </c>
      <c r="AG66" s="482">
        <f t="shared" si="93"/>
        <v>7481322993.5282364</v>
      </c>
      <c r="AH66" s="482">
        <f t="shared" si="93"/>
        <v>7962404034.320982</v>
      </c>
      <c r="AI66" s="482">
        <f t="shared" si="93"/>
        <v>8155449913.5061579</v>
      </c>
      <c r="AJ66" s="482">
        <f t="shared" si="93"/>
        <v>7587800776.044158</v>
      </c>
      <c r="AK66" s="482">
        <f t="shared" si="93"/>
        <v>7386219531.1090097</v>
      </c>
      <c r="AL66" s="482">
        <f t="shared" si="93"/>
        <v>6954595049.260067</v>
      </c>
      <c r="AM66" s="482">
        <f t="shared" ref="AM66:BR66" si="94">AM47+AM48+AM49+AM50+AM64+AM65</f>
        <v>6694217958.5998907</v>
      </c>
      <c r="AN66" s="482">
        <f t="shared" si="94"/>
        <v>6682097279.2005844</v>
      </c>
      <c r="AO66" s="482">
        <f t="shared" si="94"/>
        <v>7193802232.6939287</v>
      </c>
      <c r="AP66" s="482">
        <f t="shared" si="94"/>
        <v>7718935421.2978306</v>
      </c>
      <c r="AQ66" s="482">
        <f t="shared" si="94"/>
        <v>8247868348.4095821</v>
      </c>
      <c r="AR66" s="482">
        <f t="shared" si="94"/>
        <v>8705433163.5078888</v>
      </c>
      <c r="AS66" s="482">
        <f t="shared" si="94"/>
        <v>8679374119.8963032</v>
      </c>
      <c r="AT66" s="482">
        <f t="shared" si="94"/>
        <v>8640178013.32094</v>
      </c>
      <c r="AU66" s="319">
        <f t="shared" si="94"/>
        <v>8293122076.5450697</v>
      </c>
      <c r="AV66" s="319">
        <f t="shared" si="94"/>
        <v>8314246222.9949827</v>
      </c>
      <c r="AW66" s="319">
        <f t="shared" si="94"/>
        <v>8654643481.9912186</v>
      </c>
      <c r="AX66" s="319">
        <f t="shared" si="94"/>
        <v>9499165650.8174915</v>
      </c>
      <c r="AY66" s="319">
        <f t="shared" si="94"/>
        <v>9494797969.6253242</v>
      </c>
      <c r="AZ66" s="319">
        <f t="shared" si="94"/>
        <v>9708279822.093605</v>
      </c>
      <c r="BA66" s="319">
        <f t="shared" si="94"/>
        <v>9933918729.5624332</v>
      </c>
      <c r="BB66" s="319">
        <f t="shared" si="94"/>
        <v>10565338969.19742</v>
      </c>
      <c r="BC66" s="319">
        <f t="shared" si="94"/>
        <v>10883115178.404018</v>
      </c>
      <c r="BD66" s="319">
        <f t="shared" si="94"/>
        <v>8810551567.9335899</v>
      </c>
      <c r="BE66" s="319">
        <f t="shared" si="94"/>
        <v>7940093492.3583498</v>
      </c>
      <c r="BF66" s="319">
        <f t="shared" si="94"/>
        <v>7922580662.1090689</v>
      </c>
      <c r="BG66" s="319">
        <f t="shared" si="94"/>
        <v>8463221722.2490044</v>
      </c>
      <c r="BH66" s="319">
        <f t="shared" si="94"/>
        <v>8686700486.5883274</v>
      </c>
      <c r="BI66" s="319">
        <f t="shared" si="94"/>
        <v>9040355918.335741</v>
      </c>
      <c r="BJ66" s="319">
        <f t="shared" si="94"/>
        <v>8811408183.254755</v>
      </c>
      <c r="BK66" s="319">
        <f t="shared" si="94"/>
        <v>7848739733.4193859</v>
      </c>
      <c r="BL66" s="319">
        <f t="shared" si="94"/>
        <v>7990314917.7303953</v>
      </c>
      <c r="BM66" s="319">
        <f t="shared" si="94"/>
        <v>7710502162.1597691</v>
      </c>
      <c r="BN66" s="319">
        <f t="shared" si="94"/>
        <v>7916360450.2922602</v>
      </c>
      <c r="BO66" s="319">
        <f t="shared" si="94"/>
        <v>8136384171.962472</v>
      </c>
      <c r="BP66" s="319">
        <f t="shared" si="94"/>
        <v>8486433272.1327744</v>
      </c>
      <c r="BQ66" s="319">
        <f t="shared" si="94"/>
        <v>8748514946.0530243</v>
      </c>
      <c r="BR66" s="319">
        <f t="shared" si="94"/>
        <v>8957950311.191925</v>
      </c>
      <c r="BS66" s="319">
        <f t="shared" ref="BS66:CM66" si="95">BS47+BS48+BS49+BS50+BS64+BS65</f>
        <v>8242607649.5527067</v>
      </c>
      <c r="BT66" s="319">
        <f t="shared" si="95"/>
        <v>6221287141.4745283</v>
      </c>
      <c r="BU66" s="319">
        <f t="shared" si="95"/>
        <v>4217882937.0628562</v>
      </c>
      <c r="BV66" s="319">
        <f t="shared" si="95"/>
        <v>5347907389.6532412</v>
      </c>
      <c r="BW66" s="319">
        <f t="shared" si="95"/>
        <v>6617444052.8463602</v>
      </c>
      <c r="BX66" s="319">
        <f t="shared" si="95"/>
        <v>6946850617.9938841</v>
      </c>
      <c r="BY66" s="319">
        <f t="shared" si="95"/>
        <v>6976532450.5649519</v>
      </c>
      <c r="BZ66" s="319">
        <f t="shared" si="95"/>
        <v>6975785554.0769987</v>
      </c>
      <c r="CA66" s="319">
        <f t="shared" si="95"/>
        <v>6912662908.8325605</v>
      </c>
      <c r="CB66" s="319">
        <f t="shared" si="95"/>
        <v>7079397658.0543947</v>
      </c>
      <c r="CC66" s="319">
        <f t="shared" si="95"/>
        <v>7664191228.9894838</v>
      </c>
      <c r="CD66" s="319">
        <f t="shared" si="95"/>
        <v>8648182874.1669235</v>
      </c>
      <c r="CE66" s="319">
        <f t="shared" si="95"/>
        <v>9370556807.461441</v>
      </c>
      <c r="CF66" s="319">
        <f t="shared" si="95"/>
        <v>9530018569.3564949</v>
      </c>
      <c r="CG66" s="319">
        <f t="shared" si="95"/>
        <v>9186162541.8878345</v>
      </c>
      <c r="CH66" s="319">
        <f t="shared" si="95"/>
        <v>9184210222.4105778</v>
      </c>
      <c r="CI66" s="319">
        <f t="shared" si="95"/>
        <v>9833499998.0660381</v>
      </c>
      <c r="CJ66" s="319">
        <f t="shared" si="95"/>
        <v>10640327527.83902</v>
      </c>
      <c r="CK66" s="319">
        <f t="shared" si="95"/>
        <v>10409552295.26969</v>
      </c>
      <c r="CL66" s="319">
        <f t="shared" si="95"/>
        <v>10806209904.788807</v>
      </c>
      <c r="CM66" s="319">
        <f t="shared" si="95"/>
        <v>7980601923.4218063</v>
      </c>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row>
    <row r="67" spans="1:178" ht="63.75" customHeight="1">
      <c r="A67" s="1047"/>
      <c r="B67" s="1047"/>
      <c r="C67" s="1047"/>
      <c r="D67" s="1047"/>
      <c r="E67" s="1048"/>
      <c r="F67" s="420" t="s">
        <v>192</v>
      </c>
      <c r="G67" s="621">
        <f t="shared" ref="G67:AL67" si="96">G66-G55-G56</f>
        <v>6499453420.938736</v>
      </c>
      <c r="H67" s="621">
        <f t="shared" si="96"/>
        <v>5923584743.2966938</v>
      </c>
      <c r="I67" s="621">
        <f t="shared" si="96"/>
        <v>5017254400.9913883</v>
      </c>
      <c r="J67" s="621">
        <f t="shared" si="96"/>
        <v>4061628895.3589392</v>
      </c>
      <c r="K67" s="621">
        <f t="shared" si="96"/>
        <v>4791022159.6436005</v>
      </c>
      <c r="L67" s="621">
        <f t="shared" si="96"/>
        <v>4798769342.7576456</v>
      </c>
      <c r="M67" s="621">
        <f t="shared" si="96"/>
        <v>4961306167.7407036</v>
      </c>
      <c r="N67" s="621">
        <f t="shared" si="96"/>
        <v>5183292662.5109777</v>
      </c>
      <c r="O67" s="621">
        <f t="shared" si="96"/>
        <v>5000509798.9405136</v>
      </c>
      <c r="P67" s="621">
        <f t="shared" si="96"/>
        <v>4447119224.1664543</v>
      </c>
      <c r="Q67" s="621">
        <f t="shared" si="96"/>
        <v>4136472037.1574922</v>
      </c>
      <c r="R67" s="621">
        <f t="shared" si="96"/>
        <v>4314533987.852293</v>
      </c>
      <c r="S67" s="621">
        <f t="shared" si="96"/>
        <v>4450367744.9881315</v>
      </c>
      <c r="T67" s="621">
        <f t="shared" si="96"/>
        <v>4609853851.5178404</v>
      </c>
      <c r="U67" s="621">
        <f t="shared" si="96"/>
        <v>4494983890.4525051</v>
      </c>
      <c r="V67" s="621">
        <f t="shared" si="96"/>
        <v>3698334931.8438382</v>
      </c>
      <c r="W67" s="621">
        <f t="shared" si="96"/>
        <v>3608688351.1983256</v>
      </c>
      <c r="X67" s="621">
        <f t="shared" si="96"/>
        <v>3858635633.2650633</v>
      </c>
      <c r="Y67" s="621">
        <f t="shared" si="96"/>
        <v>3940219477.6083531</v>
      </c>
      <c r="Z67" s="621">
        <f t="shared" si="96"/>
        <v>4127765325.0946774</v>
      </c>
      <c r="AA67" s="621">
        <f t="shared" si="96"/>
        <v>4209493540.4965601</v>
      </c>
      <c r="AB67" s="621">
        <f t="shared" si="96"/>
        <v>3826279484.4091964</v>
      </c>
      <c r="AC67" s="621">
        <f t="shared" si="96"/>
        <v>3683924232.9610415</v>
      </c>
      <c r="AD67" s="621">
        <f t="shared" si="96"/>
        <v>3923124362.0515795</v>
      </c>
      <c r="AE67" s="621">
        <f t="shared" si="96"/>
        <v>4255459826.8544097</v>
      </c>
      <c r="AF67" s="621">
        <f t="shared" si="96"/>
        <v>4381329195.3330641</v>
      </c>
      <c r="AG67" s="621">
        <f t="shared" si="96"/>
        <v>4598800761.2615719</v>
      </c>
      <c r="AH67" s="621">
        <f t="shared" si="96"/>
        <v>4925813833.6666222</v>
      </c>
      <c r="AI67" s="621">
        <f t="shared" si="96"/>
        <v>4958367419.6982841</v>
      </c>
      <c r="AJ67" s="621">
        <f t="shared" si="96"/>
        <v>4533195216.337615</v>
      </c>
      <c r="AK67" s="621">
        <f t="shared" si="96"/>
        <v>4277915661.5798426</v>
      </c>
      <c r="AL67" s="621">
        <f t="shared" si="96"/>
        <v>3979316655.0968747</v>
      </c>
      <c r="AM67" s="621">
        <f t="shared" ref="AM67:BR67" si="97">AM66-AM55-AM56</f>
        <v>3800810368.9010353</v>
      </c>
      <c r="AN67" s="621">
        <f t="shared" si="97"/>
        <v>3767359946.2945547</v>
      </c>
      <c r="AO67" s="621">
        <f t="shared" si="97"/>
        <v>4242629027.9659581</v>
      </c>
      <c r="AP67" s="621">
        <f t="shared" si="97"/>
        <v>4670927126.7524366</v>
      </c>
      <c r="AQ67" s="621">
        <f t="shared" si="97"/>
        <v>5069292441.8919077</v>
      </c>
      <c r="AR67" s="621">
        <f t="shared" si="97"/>
        <v>5525159438.8577967</v>
      </c>
      <c r="AS67" s="621">
        <f t="shared" si="97"/>
        <v>5411101770.3869343</v>
      </c>
      <c r="AT67" s="621">
        <f t="shared" si="97"/>
        <v>5315500035.8426838</v>
      </c>
      <c r="AU67" s="419">
        <f t="shared" si="97"/>
        <v>4918368870.8678417</v>
      </c>
      <c r="AV67" s="419">
        <f t="shared" si="97"/>
        <v>4882165315.7657785</v>
      </c>
      <c r="AW67" s="419">
        <f t="shared" si="97"/>
        <v>5125049796.9198141</v>
      </c>
      <c r="AX67" s="419">
        <f t="shared" si="97"/>
        <v>5790406041.9043093</v>
      </c>
      <c r="AY67" s="419">
        <f t="shared" si="97"/>
        <v>5415434708.8005257</v>
      </c>
      <c r="AZ67" s="419">
        <f t="shared" si="97"/>
        <v>5615137284.7884865</v>
      </c>
      <c r="BA67" s="419">
        <f t="shared" si="97"/>
        <v>5796386032.7462406</v>
      </c>
      <c r="BB67" s="419">
        <f t="shared" si="97"/>
        <v>6173108808.3102589</v>
      </c>
      <c r="BC67" s="419">
        <f t="shared" si="97"/>
        <v>6492350572.9149666</v>
      </c>
      <c r="BD67" s="419">
        <f t="shared" si="97"/>
        <v>5047365199.872797</v>
      </c>
      <c r="BE67" s="419">
        <f t="shared" si="97"/>
        <v>4736246080.8404541</v>
      </c>
      <c r="BF67" s="419">
        <f t="shared" si="97"/>
        <v>4871962358.6352139</v>
      </c>
      <c r="BG67" s="419">
        <f t="shared" si="97"/>
        <v>5323069422.6965828</v>
      </c>
      <c r="BH67" s="419">
        <f t="shared" si="97"/>
        <v>5431366967.4296494</v>
      </c>
      <c r="BI67" s="419">
        <f t="shared" si="97"/>
        <v>5729760061.3025303</v>
      </c>
      <c r="BJ67" s="419">
        <f t="shared" si="97"/>
        <v>5566445780.1124592</v>
      </c>
      <c r="BK67" s="419">
        <f t="shared" si="97"/>
        <v>4743715663.9027557</v>
      </c>
      <c r="BL67" s="419">
        <f t="shared" si="97"/>
        <v>4904293696.6468353</v>
      </c>
      <c r="BM67" s="419">
        <f t="shared" si="97"/>
        <v>4571825284.1255817</v>
      </c>
      <c r="BN67" s="419">
        <f t="shared" si="97"/>
        <v>4693470657.7891026</v>
      </c>
      <c r="BO67" s="419">
        <f t="shared" si="97"/>
        <v>4757493616.0486889</v>
      </c>
      <c r="BP67" s="419">
        <f t="shared" si="97"/>
        <v>5156626622.9773703</v>
      </c>
      <c r="BQ67" s="419">
        <f t="shared" si="97"/>
        <v>5575730626.9235039</v>
      </c>
      <c r="BR67" s="419">
        <f t="shared" si="97"/>
        <v>5590062796.9265079</v>
      </c>
      <c r="BS67" s="419">
        <f t="shared" ref="BS67:CL67" si="98">BS66-BS55-BS56</f>
        <v>4991825359.5722218</v>
      </c>
      <c r="BT67" s="419">
        <f t="shared" si="98"/>
        <v>3524631483.9689932</v>
      </c>
      <c r="BU67" s="419">
        <f t="shared" si="98"/>
        <v>2334225856.2459831</v>
      </c>
      <c r="BV67" s="419">
        <f t="shared" si="98"/>
        <v>3772262934.3358631</v>
      </c>
      <c r="BW67" s="419">
        <f t="shared" si="98"/>
        <v>4700265429.4036036</v>
      </c>
      <c r="BX67" s="419">
        <f t="shared" si="98"/>
        <v>4733087156.6605883</v>
      </c>
      <c r="BY67" s="419">
        <f t="shared" si="98"/>
        <v>4663779744.3180866</v>
      </c>
      <c r="BZ67" s="419">
        <f t="shared" si="98"/>
        <v>4527808509.5523472</v>
      </c>
      <c r="CA67" s="419">
        <f t="shared" si="98"/>
        <v>4383175988.2657719</v>
      </c>
      <c r="CB67" s="419">
        <f t="shared" si="98"/>
        <v>4354199229.3564415</v>
      </c>
      <c r="CC67" s="419">
        <f t="shared" si="98"/>
        <v>4506288539.3217239</v>
      </c>
      <c r="CD67" s="419">
        <f t="shared" si="98"/>
        <v>5268579562.3860455</v>
      </c>
      <c r="CE67" s="419">
        <f t="shared" si="98"/>
        <v>6054375171.6912899</v>
      </c>
      <c r="CF67" s="419">
        <f t="shared" si="98"/>
        <v>6022285278.0407639</v>
      </c>
      <c r="CG67" s="419">
        <f t="shared" si="98"/>
        <v>5405852077.3521233</v>
      </c>
      <c r="CH67" s="419">
        <f t="shared" si="98"/>
        <v>5437386975.5409784</v>
      </c>
      <c r="CI67" s="419">
        <f t="shared" si="98"/>
        <v>5861673338.7338858</v>
      </c>
      <c r="CJ67" s="419">
        <f t="shared" si="98"/>
        <v>6353566201.6452427</v>
      </c>
      <c r="CK67" s="419">
        <f t="shared" si="98"/>
        <v>5849062440.4376516</v>
      </c>
      <c r="CL67" s="419">
        <f t="shared" si="98"/>
        <v>6209044567.4958954</v>
      </c>
      <c r="CM67" s="419">
        <f>AVERAGE(G67:CL67)</f>
        <v>4846914458.4230719</v>
      </c>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row>
    <row r="68" spans="1:178">
      <c r="A68" s="58"/>
      <c r="B68" s="58"/>
      <c r="C68" s="58"/>
      <c r="D68" s="58"/>
      <c r="E68" s="58"/>
      <c r="F68" s="487" t="s">
        <v>344</v>
      </c>
      <c r="G68" s="488">
        <f>G67*G53/G17</f>
        <v>47776.931733272097</v>
      </c>
      <c r="H68" s="488">
        <f t="shared" ref="H68:AL68" si="99">H67*H53/H17</f>
        <v>44245.792530301223</v>
      </c>
      <c r="I68" s="488">
        <f t="shared" si="99"/>
        <v>38049.480804060222</v>
      </c>
      <c r="J68" s="488">
        <f t="shared" si="99"/>
        <v>31421.363428391869</v>
      </c>
      <c r="K68" s="488">
        <f t="shared" si="99"/>
        <v>36461.649624764868</v>
      </c>
      <c r="L68" s="488">
        <f t="shared" si="99"/>
        <v>36533.192649807017</v>
      </c>
      <c r="M68" s="488">
        <f t="shared" si="99"/>
        <v>37656.495199101009</v>
      </c>
      <c r="N68" s="488">
        <f t="shared" si="99"/>
        <v>39187.717613447807</v>
      </c>
      <c r="O68" s="488">
        <f t="shared" si="99"/>
        <v>37796.099409846531</v>
      </c>
      <c r="P68" s="488">
        <f t="shared" si="99"/>
        <v>33961.646594314901</v>
      </c>
      <c r="Q68" s="488">
        <f t="shared" si="99"/>
        <v>31910.390834990874</v>
      </c>
      <c r="R68" s="488">
        <f t="shared" si="99"/>
        <v>33242.068136983173</v>
      </c>
      <c r="S68" s="488">
        <f t="shared" si="99"/>
        <v>34134.768758806676</v>
      </c>
      <c r="T68" s="488">
        <f t="shared" si="99"/>
        <v>35265.134245928908</v>
      </c>
      <c r="U68" s="488">
        <f t="shared" si="99"/>
        <v>34176.736815397133</v>
      </c>
      <c r="V68" s="488">
        <f t="shared" si="99"/>
        <v>28661.338186086363</v>
      </c>
      <c r="W68" s="488">
        <f t="shared" si="99"/>
        <v>28196.559736820589</v>
      </c>
      <c r="X68" s="488">
        <f t="shared" si="99"/>
        <v>29850.105123359994</v>
      </c>
      <c r="Y68" s="488">
        <f t="shared" si="99"/>
        <v>29970.716228387904</v>
      </c>
      <c r="Z68" s="488">
        <f t="shared" si="99"/>
        <v>31261.532025742123</v>
      </c>
      <c r="AA68" s="488">
        <f t="shared" si="99"/>
        <v>31822.591511017028</v>
      </c>
      <c r="AB68" s="488">
        <f t="shared" si="99"/>
        <v>29168.358840556924</v>
      </c>
      <c r="AC68" s="488">
        <f t="shared" si="99"/>
        <v>28186.242541789488</v>
      </c>
      <c r="AD68" s="488">
        <f t="shared" si="99"/>
        <v>29847.58475538293</v>
      </c>
      <c r="AE68" s="488">
        <f t="shared" si="99"/>
        <v>31847.231356590546</v>
      </c>
      <c r="AF68" s="488">
        <f t="shared" si="99"/>
        <v>32735.275854339892</v>
      </c>
      <c r="AG68" s="488">
        <f t="shared" si="99"/>
        <v>34186.472227458486</v>
      </c>
      <c r="AH68" s="488">
        <f t="shared" si="99"/>
        <v>36392.891444600813</v>
      </c>
      <c r="AI68" s="488">
        <f t="shared" si="99"/>
        <v>36533.28802639238</v>
      </c>
      <c r="AJ68" s="488">
        <f t="shared" si="99"/>
        <v>33601.725698900998</v>
      </c>
      <c r="AK68" s="488">
        <f t="shared" si="99"/>
        <v>31780.682858749286</v>
      </c>
      <c r="AL68" s="488">
        <f t="shared" si="99"/>
        <v>29771.742267662707</v>
      </c>
      <c r="AM68" s="488">
        <f t="shared" ref="AM68:BR68" si="100">AM67*AM53/AM17</f>
        <v>28567.780468971971</v>
      </c>
      <c r="AN68" s="488">
        <f t="shared" si="100"/>
        <v>28305.610544177187</v>
      </c>
      <c r="AO68" s="488">
        <f t="shared" si="100"/>
        <v>31609.565465536591</v>
      </c>
      <c r="AP68" s="488">
        <f t="shared" si="100"/>
        <v>34571.226616699794</v>
      </c>
      <c r="AQ68" s="488">
        <f t="shared" si="100"/>
        <v>37500.683002310237</v>
      </c>
      <c r="AR68" s="488">
        <f t="shared" si="100"/>
        <v>40660.736129720979</v>
      </c>
      <c r="AS68" s="488">
        <f t="shared" si="100"/>
        <v>39825.028294976779</v>
      </c>
      <c r="AT68" s="488">
        <f t="shared" si="100"/>
        <v>39088.286446154692</v>
      </c>
      <c r="AU68" s="489">
        <f t="shared" si="100"/>
        <v>36347.31927770577</v>
      </c>
      <c r="AV68" s="489">
        <f t="shared" si="100"/>
        <v>36070.715968267628</v>
      </c>
      <c r="AW68" s="489">
        <f t="shared" si="100"/>
        <v>37804.406632391518</v>
      </c>
      <c r="AX68" s="489">
        <f t="shared" si="100"/>
        <v>42413.166040331816</v>
      </c>
      <c r="AY68" s="489">
        <f t="shared" si="100"/>
        <v>39705.256393736941</v>
      </c>
      <c r="AZ68" s="489">
        <f t="shared" si="100"/>
        <v>41103.829044536986</v>
      </c>
      <c r="BA68" s="489">
        <f t="shared" si="100"/>
        <v>42385.291420926565</v>
      </c>
      <c r="BB68" s="489">
        <f t="shared" si="100"/>
        <v>44963.575500307081</v>
      </c>
      <c r="BC68" s="489">
        <f t="shared" si="100"/>
        <v>47379.698008228122</v>
      </c>
      <c r="BD68" s="489">
        <f t="shared" si="100"/>
        <v>37477.655605117616</v>
      </c>
      <c r="BE68" s="489">
        <f t="shared" si="100"/>
        <v>35523.112472793866</v>
      </c>
      <c r="BF68" s="489">
        <f t="shared" si="100"/>
        <v>36547.801574731115</v>
      </c>
      <c r="BG68" s="489">
        <f t="shared" si="100"/>
        <v>39651.112364883113</v>
      </c>
      <c r="BH68" s="489">
        <f t="shared" si="100"/>
        <v>40284.855135235739</v>
      </c>
      <c r="BI68" s="489">
        <f t="shared" si="100"/>
        <v>42479.81985046967</v>
      </c>
      <c r="BJ68" s="489">
        <f t="shared" si="100"/>
        <v>41390.846555687123</v>
      </c>
      <c r="BK68" s="489">
        <f t="shared" si="100"/>
        <v>35713.396142814017</v>
      </c>
      <c r="BL68" s="489">
        <f t="shared" si="100"/>
        <v>36846.372107054536</v>
      </c>
      <c r="BM68" s="489">
        <f t="shared" si="100"/>
        <v>34529.776417566318</v>
      </c>
      <c r="BN68" s="489">
        <f t="shared" si="100"/>
        <v>35309.131361216911</v>
      </c>
      <c r="BO68" s="489">
        <f t="shared" si="100"/>
        <v>35510.941598229285</v>
      </c>
      <c r="BP68" s="489">
        <f t="shared" si="100"/>
        <v>38332.665220591312</v>
      </c>
      <c r="BQ68" s="489">
        <f t="shared" si="100"/>
        <v>41336.453075847843</v>
      </c>
      <c r="BR68" s="489">
        <f t="shared" si="100"/>
        <v>41333.213517746575</v>
      </c>
      <c r="BS68" s="489">
        <f t="shared" ref="BS68:CL68" si="101">BS67*BS53/BS17</f>
        <v>37212.582967765578</v>
      </c>
      <c r="BT68" s="489">
        <f t="shared" si="101"/>
        <v>27238.51120035776</v>
      </c>
      <c r="BU68" s="489">
        <f t="shared" si="101"/>
        <v>19162.712645805688</v>
      </c>
      <c r="BV68" s="489">
        <f t="shared" si="101"/>
        <v>29432.787146352108</v>
      </c>
      <c r="BW68" s="489">
        <f t="shared" si="101"/>
        <v>35451.622058091743</v>
      </c>
      <c r="BX68" s="489">
        <f t="shared" si="101"/>
        <v>35473.657280732754</v>
      </c>
      <c r="BY68" s="489">
        <f t="shared" si="101"/>
        <v>34949.659138070412</v>
      </c>
      <c r="BZ68" s="489">
        <f t="shared" si="101"/>
        <v>33941.081631020461</v>
      </c>
      <c r="CA68" s="489">
        <f t="shared" si="101"/>
        <v>32572.635181420832</v>
      </c>
      <c r="CB68" s="489">
        <f t="shared" si="101"/>
        <v>32310.483681151316</v>
      </c>
      <c r="CC68" s="489">
        <f t="shared" si="101"/>
        <v>33184.855785745007</v>
      </c>
      <c r="CD68" s="489">
        <f t="shared" si="101"/>
        <v>38439.702952102249</v>
      </c>
      <c r="CE68" s="489">
        <f t="shared" si="101"/>
        <v>43938.839635556695</v>
      </c>
      <c r="CF68" s="489">
        <f t="shared" si="101"/>
        <v>43631.602992437249</v>
      </c>
      <c r="CG68" s="489">
        <f t="shared" si="101"/>
        <v>39257.930280278997</v>
      </c>
      <c r="CH68" s="489">
        <f t="shared" si="101"/>
        <v>39448.896363289095</v>
      </c>
      <c r="CI68" s="489">
        <f t="shared" si="101"/>
        <v>42347.521133898874</v>
      </c>
      <c r="CJ68" s="489">
        <f t="shared" si="101"/>
        <v>45700.953498359188</v>
      </c>
      <c r="CK68" s="489">
        <f t="shared" si="101"/>
        <v>42154.331382743963</v>
      </c>
      <c r="CL68" s="489">
        <f t="shared" si="101"/>
        <v>44650.597233342123</v>
      </c>
      <c r="CM68" s="489">
        <f>AVERAGE(G68:CL68)</f>
        <v>36151.23927984215</v>
      </c>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row>
    <row r="69" spans="1:178">
      <c r="A69" s="58"/>
      <c r="B69" s="58"/>
      <c r="C69" s="58"/>
      <c r="D69" s="58"/>
      <c r="E69" s="58"/>
      <c r="F69" s="487" t="s">
        <v>345</v>
      </c>
      <c r="G69" s="488">
        <f t="shared" ref="G69:AL69" si="102">G54*G67/G18</f>
        <v>63784.57096836617</v>
      </c>
      <c r="H69" s="488">
        <f t="shared" si="102"/>
        <v>56205.068377129122</v>
      </c>
      <c r="I69" s="488">
        <f t="shared" si="102"/>
        <v>46030.551374004586</v>
      </c>
      <c r="J69" s="488">
        <f t="shared" si="102"/>
        <v>35562.971370656938</v>
      </c>
      <c r="K69" s="488">
        <f t="shared" si="102"/>
        <v>43603.864420850914</v>
      </c>
      <c r="L69" s="488">
        <f t="shared" si="102"/>
        <v>43639.812943616351</v>
      </c>
      <c r="M69" s="488">
        <f t="shared" si="102"/>
        <v>45431.266673830411</v>
      </c>
      <c r="N69" s="488">
        <f t="shared" si="102"/>
        <v>47886.040911287615</v>
      </c>
      <c r="O69" s="488">
        <f t="shared" si="102"/>
        <v>46224.057475690781</v>
      </c>
      <c r="P69" s="488">
        <f t="shared" si="102"/>
        <v>40151.963286097365</v>
      </c>
      <c r="Q69" s="488">
        <f t="shared" si="102"/>
        <v>36465.378466828726</v>
      </c>
      <c r="R69" s="488">
        <f t="shared" si="102"/>
        <v>38150.344445322429</v>
      </c>
      <c r="S69" s="488">
        <f t="shared" si="102"/>
        <v>39773.966800938091</v>
      </c>
      <c r="T69" s="488">
        <f t="shared" si="102"/>
        <v>41454.494594815988</v>
      </c>
      <c r="U69" s="488">
        <f t="shared" si="102"/>
        <v>40997.291286398373</v>
      </c>
      <c r="V69" s="488">
        <f t="shared" si="102"/>
        <v>32243.41581832579</v>
      </c>
      <c r="W69" s="488">
        <f t="shared" si="102"/>
        <v>30830.275371339343</v>
      </c>
      <c r="X69" s="488">
        <f t="shared" si="102"/>
        <v>33787.990660108255</v>
      </c>
      <c r="Y69" s="488">
        <f t="shared" si="102"/>
        <v>35904.445523171671</v>
      </c>
      <c r="Z69" s="488">
        <f t="shared" si="102"/>
        <v>37986.171004873322</v>
      </c>
      <c r="AA69" s="488">
        <f t="shared" si="102"/>
        <v>38897.318270999931</v>
      </c>
      <c r="AB69" s="488">
        <f t="shared" si="102"/>
        <v>34689.568410940294</v>
      </c>
      <c r="AC69" s="488">
        <f t="shared" si="102"/>
        <v>33115.856065837419</v>
      </c>
      <c r="AD69" s="488">
        <f t="shared" si="102"/>
        <v>35729.71952489805</v>
      </c>
      <c r="AE69" s="488">
        <f t="shared" si="102"/>
        <v>40208.739890439036</v>
      </c>
      <c r="AF69" s="488">
        <f t="shared" si="102"/>
        <v>41546.195655374206</v>
      </c>
      <c r="AG69" s="488">
        <f t="shared" si="102"/>
        <v>44085.293865646257</v>
      </c>
      <c r="AH69" s="488">
        <f t="shared" si="102"/>
        <v>47836.754103679792</v>
      </c>
      <c r="AI69" s="488">
        <f t="shared" si="102"/>
        <v>48427.852434002969</v>
      </c>
      <c r="AJ69" s="488">
        <f t="shared" si="102"/>
        <v>43722.916637696828</v>
      </c>
      <c r="AK69" s="488">
        <f t="shared" si="102"/>
        <v>41065.232990243705</v>
      </c>
      <c r="AL69" s="488">
        <f t="shared" si="102"/>
        <v>37623.907124041929</v>
      </c>
      <c r="AM69" s="488">
        <f t="shared" ref="AM69:BR69" si="103">AM54*AM67/AM18</f>
        <v>35574.854651750829</v>
      </c>
      <c r="AN69" s="488">
        <f t="shared" si="103"/>
        <v>35291.285199070771</v>
      </c>
      <c r="AO69" s="488">
        <f t="shared" si="103"/>
        <v>40476.50813476889</v>
      </c>
      <c r="AP69" s="488">
        <f t="shared" si="103"/>
        <v>45192.564990831859</v>
      </c>
      <c r="AQ69" s="488">
        <f t="shared" si="103"/>
        <v>49099.017539203312</v>
      </c>
      <c r="AR69" s="488">
        <f t="shared" si="103"/>
        <v>54097.343425454274</v>
      </c>
      <c r="AS69" s="488">
        <f t="shared" si="103"/>
        <v>52970.528823311921</v>
      </c>
      <c r="AT69" s="488">
        <f t="shared" si="103"/>
        <v>52125.635466671651</v>
      </c>
      <c r="AU69" s="489">
        <f t="shared" si="103"/>
        <v>47738.546999606573</v>
      </c>
      <c r="AV69" s="489">
        <f t="shared" si="103"/>
        <v>47412.016950087265</v>
      </c>
      <c r="AW69" s="489">
        <f t="shared" si="103"/>
        <v>49937.722853100626</v>
      </c>
      <c r="AX69" s="489">
        <f t="shared" si="103"/>
        <v>57242.498193685555</v>
      </c>
      <c r="AY69" s="489">
        <f t="shared" si="103"/>
        <v>53429.465996894971</v>
      </c>
      <c r="AZ69" s="489">
        <f t="shared" si="103"/>
        <v>55579.97931572191</v>
      </c>
      <c r="BA69" s="489">
        <f t="shared" si="103"/>
        <v>57498.465699451663</v>
      </c>
      <c r="BB69" s="489">
        <f t="shared" si="103"/>
        <v>61720.046303224699</v>
      </c>
      <c r="BC69" s="489">
        <f t="shared" si="103"/>
        <v>64662.424691554996</v>
      </c>
      <c r="BD69" s="489">
        <f t="shared" si="103"/>
        <v>48504.392944270869</v>
      </c>
      <c r="BE69" s="489">
        <f t="shared" si="103"/>
        <v>44538.03938319267</v>
      </c>
      <c r="BF69" s="489">
        <f t="shared" si="103"/>
        <v>45795.646443052421</v>
      </c>
      <c r="BG69" s="489">
        <f t="shared" si="103"/>
        <v>50806.999707242649</v>
      </c>
      <c r="BH69" s="489">
        <f t="shared" si="103"/>
        <v>52315.670647181978</v>
      </c>
      <c r="BI69" s="489">
        <f t="shared" si="103"/>
        <v>55239.925555629037</v>
      </c>
      <c r="BJ69" s="489">
        <f t="shared" si="103"/>
        <v>53330.86517819803</v>
      </c>
      <c r="BK69" s="489">
        <f t="shared" si="103"/>
        <v>44239.552231007707</v>
      </c>
      <c r="BL69" s="489">
        <f t="shared" si="103"/>
        <v>45945.67090363233</v>
      </c>
      <c r="BM69" s="489">
        <f t="shared" si="103"/>
        <v>42333.124754613855</v>
      </c>
      <c r="BN69" s="489">
        <f t="shared" si="103"/>
        <v>43842.354094340299</v>
      </c>
      <c r="BO69" s="489">
        <f t="shared" si="103"/>
        <v>45208.939108376493</v>
      </c>
      <c r="BP69" s="489">
        <f t="shared" si="103"/>
        <v>49434.299349614957</v>
      </c>
      <c r="BQ69" s="489">
        <f t="shared" si="103"/>
        <v>53758.816693390647</v>
      </c>
      <c r="BR69" s="489">
        <f t="shared" si="103"/>
        <v>54197.711104030335</v>
      </c>
      <c r="BS69" s="489">
        <f t="shared" ref="BS69:CL69" si="104">BS54*BS67/BS18</f>
        <v>47566.063210403787</v>
      </c>
      <c r="BT69" s="489">
        <f t="shared" si="104"/>
        <v>30939.546489414024</v>
      </c>
      <c r="BU69" s="489">
        <f t="shared" si="104"/>
        <v>17403.918581177652</v>
      </c>
      <c r="BV69" s="489">
        <f t="shared" si="104"/>
        <v>32342.729493154369</v>
      </c>
      <c r="BW69" s="489">
        <f t="shared" si="104"/>
        <v>43654.878792637464</v>
      </c>
      <c r="BX69" s="489">
        <f t="shared" si="104"/>
        <v>44579.087348452493</v>
      </c>
      <c r="BY69" s="489">
        <f t="shared" si="104"/>
        <v>43938.807556618813</v>
      </c>
      <c r="BZ69" s="489">
        <f t="shared" si="104"/>
        <v>42629.302636200518</v>
      </c>
      <c r="CA69" s="489">
        <f t="shared" si="104"/>
        <v>42048.27684939852</v>
      </c>
      <c r="CB69" s="489">
        <f t="shared" si="104"/>
        <v>41898.876773365519</v>
      </c>
      <c r="CC69" s="489">
        <f t="shared" si="104"/>
        <v>44060.539382687115</v>
      </c>
      <c r="CD69" s="489">
        <f t="shared" si="104"/>
        <v>52499.173055071093</v>
      </c>
      <c r="CE69" s="489">
        <f t="shared" si="104"/>
        <v>60972.085120947864</v>
      </c>
      <c r="CF69" s="489">
        <f t="shared" si="104"/>
        <v>60853.104976339753</v>
      </c>
      <c r="CG69" s="489">
        <f t="shared" si="104"/>
        <v>54370.493420125022</v>
      </c>
      <c r="CH69" s="489">
        <f t="shared" si="104"/>
        <v>54792.145706701915</v>
      </c>
      <c r="CI69" s="489">
        <f t="shared" si="104"/>
        <v>59560.963384385643</v>
      </c>
      <c r="CJ69" s="489">
        <f t="shared" si="104"/>
        <v>65109.053254994818</v>
      </c>
      <c r="CK69" s="489">
        <f t="shared" si="104"/>
        <v>59713.180716676376</v>
      </c>
      <c r="CL69" s="489">
        <f t="shared" si="104"/>
        <v>63657.75749941598</v>
      </c>
      <c r="CM69" s="489">
        <f>AVERAGE(G69:CL69)</f>
        <v>46133.264218187942</v>
      </c>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c r="FI69" s="58"/>
      <c r="FJ69" s="58"/>
      <c r="FK69" s="58"/>
      <c r="FL69" s="58"/>
      <c r="FM69" s="58"/>
      <c r="FN69" s="58"/>
      <c r="FO69" s="58"/>
      <c r="FP69" s="58"/>
      <c r="FQ69" s="58"/>
      <c r="FR69" s="58"/>
      <c r="FS69" s="58"/>
      <c r="FT69" s="58"/>
      <c r="FU69" s="58"/>
      <c r="FV69" s="58"/>
    </row>
    <row r="70" spans="1:178">
      <c r="F70" s="315"/>
      <c r="G70" s="315"/>
      <c r="H70" s="315"/>
      <c r="I70" s="315"/>
      <c r="J70" s="315"/>
      <c r="K70" s="315"/>
      <c r="L70" s="315"/>
      <c r="M70" s="315"/>
      <c r="N70" s="315"/>
      <c r="O70" s="315"/>
      <c r="P70" s="315"/>
      <c r="Q70" s="315"/>
      <c r="R70" s="315"/>
      <c r="S70" s="316"/>
      <c r="T70" s="316"/>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c r="AS70" s="316"/>
      <c r="AT70" s="317"/>
      <c r="AU70" s="318"/>
      <c r="AV70" s="318"/>
      <c r="AW70" s="318"/>
      <c r="AX70" s="318"/>
      <c r="AY70" s="318"/>
      <c r="AZ70" s="318"/>
      <c r="BA70" s="318"/>
      <c r="BB70" s="318"/>
      <c r="BC70" s="318"/>
      <c r="BD70" s="318"/>
      <c r="BE70" s="318"/>
      <c r="BF70" s="318"/>
      <c r="BG70" s="318"/>
      <c r="BH70" s="318"/>
      <c r="BI70" s="318"/>
      <c r="BJ70" s="318"/>
      <c r="BK70" s="318"/>
      <c r="BL70" s="318"/>
      <c r="BM70" s="318"/>
      <c r="BN70" s="318"/>
      <c r="BO70" s="318"/>
      <c r="BP70" s="318"/>
      <c r="BQ70" s="318"/>
      <c r="BR70" s="318"/>
      <c r="BS70" s="318"/>
      <c r="BT70" s="318"/>
      <c r="BU70" s="318"/>
      <c r="BV70" s="318"/>
      <c r="BW70" s="318"/>
      <c r="BX70" s="318"/>
      <c r="BY70" s="318"/>
      <c r="BZ70" s="318"/>
      <c r="CA70" s="318"/>
      <c r="CB70" s="318"/>
      <c r="CC70" s="318"/>
      <c r="CD70" s="318"/>
      <c r="CE70" s="318"/>
      <c r="CF70" s="318"/>
      <c r="CG70" s="318"/>
      <c r="CH70" s="318"/>
      <c r="CI70" s="318"/>
      <c r="CJ70" s="318"/>
      <c r="CK70" s="318"/>
      <c r="CL70" s="318"/>
      <c r="CM70" s="319"/>
    </row>
    <row r="71" spans="1:178">
      <c r="F71" s="320" t="s">
        <v>404</v>
      </c>
      <c r="G71" s="321">
        <v>93308.112500000003</v>
      </c>
      <c r="H71" s="321">
        <v>89338.57</v>
      </c>
      <c r="I71" s="321">
        <v>84521.437916666662</v>
      </c>
      <c r="J71" s="321">
        <v>72138.256250000006</v>
      </c>
      <c r="K71" s="321">
        <v>69542.803749999992</v>
      </c>
      <c r="L71" s="321">
        <v>77202.935599999997</v>
      </c>
      <c r="M71" s="321">
        <v>85561.224749999994</v>
      </c>
      <c r="N71" s="321">
        <v>87810.504000000001</v>
      </c>
      <c r="O71" s="321">
        <v>82223.356874999998</v>
      </c>
      <c r="P71" s="321">
        <v>81008.455999999991</v>
      </c>
      <c r="Q71" s="321">
        <v>77755.603250000015</v>
      </c>
      <c r="R71" s="321">
        <v>75270.07650000001</v>
      </c>
      <c r="S71" s="321">
        <v>79308</v>
      </c>
      <c r="T71" s="321">
        <v>87844.5</v>
      </c>
      <c r="U71" s="321">
        <v>84301.2</v>
      </c>
      <c r="V71" s="321">
        <v>71658</v>
      </c>
      <c r="W71" s="321">
        <v>73467</v>
      </c>
      <c r="X71" s="321">
        <v>79317</v>
      </c>
      <c r="Y71" s="321">
        <v>83124</v>
      </c>
      <c r="Z71" s="321">
        <v>80424</v>
      </c>
      <c r="AA71" s="321">
        <v>78174</v>
      </c>
      <c r="AB71" s="321">
        <v>79992</v>
      </c>
      <c r="AC71" s="321">
        <v>80892</v>
      </c>
      <c r="AD71" s="321">
        <v>80892</v>
      </c>
      <c r="AE71" s="321">
        <v>79920</v>
      </c>
      <c r="AF71" s="321">
        <v>79920</v>
      </c>
      <c r="AG71" s="321">
        <v>79020</v>
      </c>
      <c r="AH71" s="321">
        <v>80838</v>
      </c>
      <c r="AI71" s="321">
        <v>80838</v>
      </c>
      <c r="AJ71" s="321">
        <v>81738</v>
      </c>
      <c r="AK71" s="321">
        <v>80838</v>
      </c>
      <c r="AL71" s="321">
        <v>80838</v>
      </c>
      <c r="AM71" s="321">
        <v>80838</v>
      </c>
      <c r="AN71" s="321">
        <v>80478</v>
      </c>
      <c r="AO71" s="321">
        <v>73638</v>
      </c>
      <c r="AP71" s="321">
        <v>73638</v>
      </c>
      <c r="AQ71" s="321">
        <v>73638</v>
      </c>
      <c r="AR71" s="321">
        <v>75069</v>
      </c>
      <c r="AS71" s="321">
        <v>74097</v>
      </c>
      <c r="AT71" s="322">
        <v>77120</v>
      </c>
      <c r="AU71" s="323">
        <v>78330</v>
      </c>
      <c r="AV71" s="323">
        <v>78330</v>
      </c>
      <c r="AW71" s="323">
        <v>79710</v>
      </c>
      <c r="AX71" s="323">
        <v>81840</v>
      </c>
      <c r="AY71" s="323">
        <v>82290</v>
      </c>
      <c r="AZ71" s="323">
        <v>81605</v>
      </c>
      <c r="BA71" s="323">
        <v>80450</v>
      </c>
      <c r="BB71" s="323">
        <v>82290</v>
      </c>
      <c r="BC71" s="323">
        <v>84860</v>
      </c>
      <c r="BD71" s="323">
        <v>82790</v>
      </c>
      <c r="BE71" s="323">
        <v>75410</v>
      </c>
      <c r="BF71" s="323">
        <v>75535</v>
      </c>
      <c r="BG71" s="323">
        <v>75515</v>
      </c>
      <c r="BH71" s="323">
        <v>76895</v>
      </c>
      <c r="BI71" s="323">
        <v>76895</v>
      </c>
      <c r="BJ71" s="323">
        <v>73118.75</v>
      </c>
      <c r="BK71" s="323">
        <v>69505.666666666672</v>
      </c>
      <c r="BL71" s="323">
        <v>68825</v>
      </c>
      <c r="BM71" s="323">
        <v>69518</v>
      </c>
      <c r="BN71" s="323">
        <v>66726.666666666672</v>
      </c>
      <c r="BO71" s="323">
        <v>68260</v>
      </c>
      <c r="BP71" s="323">
        <v>65340</v>
      </c>
      <c r="BQ71" s="323">
        <v>64110</v>
      </c>
      <c r="BR71" s="323">
        <v>65725</v>
      </c>
      <c r="BS71" s="323">
        <v>66420</v>
      </c>
      <c r="BT71" s="323">
        <v>66430</v>
      </c>
      <c r="BU71" s="323">
        <v>62745</v>
      </c>
      <c r="BV71" s="323">
        <v>59985</v>
      </c>
      <c r="BW71" s="323">
        <v>63743.333333333336</v>
      </c>
      <c r="BX71" s="323">
        <v>67265</v>
      </c>
      <c r="BY71" s="323">
        <v>67680</v>
      </c>
      <c r="BZ71" s="323">
        <v>68533.333333333328</v>
      </c>
      <c r="CA71" s="323">
        <v>71170</v>
      </c>
      <c r="CB71" s="323">
        <v>74566.666666666672</v>
      </c>
      <c r="CC71" s="323">
        <v>80425</v>
      </c>
      <c r="CD71" s="323">
        <v>79965</v>
      </c>
      <c r="CE71" s="323">
        <v>83513.333333333328</v>
      </c>
      <c r="CF71" s="323">
        <v>94750</v>
      </c>
      <c r="CG71" s="323">
        <v>97356.666666666672</v>
      </c>
      <c r="CH71" s="323">
        <v>88703.333333333328</v>
      </c>
      <c r="CI71" s="323">
        <v>85010</v>
      </c>
      <c r="CJ71" s="323">
        <v>87430</v>
      </c>
      <c r="CK71" s="323">
        <v>92103.333333333328</v>
      </c>
      <c r="CL71" s="323">
        <v>94270</v>
      </c>
      <c r="CM71" s="324">
        <f>AVERAGE(G71:CL71)</f>
        <v>77898.572865773807</v>
      </c>
    </row>
    <row r="72" spans="1:178">
      <c r="F72" s="325" t="s">
        <v>405</v>
      </c>
      <c r="G72" s="326">
        <v>94825.01304374999</v>
      </c>
      <c r="H72" s="326">
        <v>89531.853532499998</v>
      </c>
      <c r="I72" s="326">
        <v>85012.567467500005</v>
      </c>
      <c r="J72" s="326">
        <v>73145.637585937497</v>
      </c>
      <c r="K72" s="326">
        <v>69337.815106875001</v>
      </c>
      <c r="L72" s="326">
        <v>76428.891031799998</v>
      </c>
      <c r="M72" s="326">
        <v>85421.754279000001</v>
      </c>
      <c r="N72" s="326">
        <v>87695.729944499995</v>
      </c>
      <c r="O72" s="326">
        <v>84411.261556875004</v>
      </c>
      <c r="P72" s="326">
        <v>83437.817375999992</v>
      </c>
      <c r="Q72" s="326">
        <v>79078.185913500012</v>
      </c>
      <c r="R72" s="326">
        <v>76465.631594250022</v>
      </c>
      <c r="S72" s="326">
        <v>81045</v>
      </c>
      <c r="T72" s="326">
        <v>88461.9</v>
      </c>
      <c r="U72" s="326">
        <v>84411.9</v>
      </c>
      <c r="V72" s="326">
        <v>73836</v>
      </c>
      <c r="W72" s="326">
        <v>75195</v>
      </c>
      <c r="X72" s="326">
        <v>78795</v>
      </c>
      <c r="Y72" s="326">
        <v>81990</v>
      </c>
      <c r="Z72" s="326">
        <v>80190</v>
      </c>
      <c r="AA72" s="326">
        <v>78840</v>
      </c>
      <c r="AB72" s="326">
        <v>80235</v>
      </c>
      <c r="AC72" s="326">
        <v>80235</v>
      </c>
      <c r="AD72" s="326">
        <v>80235</v>
      </c>
      <c r="AE72" s="326">
        <v>78345</v>
      </c>
      <c r="AF72" s="326">
        <v>78345</v>
      </c>
      <c r="AG72" s="326">
        <v>76545</v>
      </c>
      <c r="AH72" s="326">
        <v>78399</v>
      </c>
      <c r="AI72" s="326">
        <v>78399</v>
      </c>
      <c r="AJ72" s="326">
        <v>78399</v>
      </c>
      <c r="AK72" s="326">
        <v>77499</v>
      </c>
      <c r="AL72" s="326">
        <v>77499</v>
      </c>
      <c r="AM72" s="326">
        <v>77499</v>
      </c>
      <c r="AN72" s="326">
        <v>74799</v>
      </c>
      <c r="AO72" s="326">
        <v>71199</v>
      </c>
      <c r="AP72" s="326">
        <v>71199</v>
      </c>
      <c r="AQ72" s="326">
        <v>72549</v>
      </c>
      <c r="AR72" s="326">
        <v>73008</v>
      </c>
      <c r="AS72" s="326">
        <v>74358</v>
      </c>
      <c r="AT72" s="327">
        <v>80539.58795362903</v>
      </c>
      <c r="AU72" s="328">
        <v>86934.170866935485</v>
      </c>
      <c r="AV72" s="328">
        <v>89341.653225806454</v>
      </c>
      <c r="AW72" s="328">
        <v>91140.766129032243</v>
      </c>
      <c r="AX72" s="328">
        <v>96099.868951612909</v>
      </c>
      <c r="AY72" s="328">
        <v>97828.508064516122</v>
      </c>
      <c r="AZ72" s="328">
        <v>97836.572580645152</v>
      </c>
      <c r="BA72" s="328">
        <v>97190.645161290318</v>
      </c>
      <c r="BB72" s="328">
        <v>97364.107862903213</v>
      </c>
      <c r="BC72" s="328">
        <v>98086.408770161288</v>
      </c>
      <c r="BD72" s="328">
        <v>93706.549059139783</v>
      </c>
      <c r="BE72" s="328">
        <v>83380.277217741939</v>
      </c>
      <c r="BF72" s="328">
        <v>81038.145161290318</v>
      </c>
      <c r="BG72" s="328">
        <v>79961.224798387091</v>
      </c>
      <c r="BH72" s="328">
        <v>79961.224798387091</v>
      </c>
      <c r="BI72" s="328">
        <v>79961.224798387091</v>
      </c>
      <c r="BJ72" s="328">
        <v>77660.846774193546</v>
      </c>
      <c r="BK72" s="328">
        <v>72853.889616935485</v>
      </c>
      <c r="BL72" s="328">
        <v>70820.866935483864</v>
      </c>
      <c r="BM72" s="328">
        <v>71429.147177419349</v>
      </c>
      <c r="BN72" s="328">
        <v>70584.057459677424</v>
      </c>
      <c r="BO72" s="328">
        <v>70105.042002688162</v>
      </c>
      <c r="BP72" s="328">
        <v>67182.930947580651</v>
      </c>
      <c r="BQ72" s="328">
        <v>66724.662298387091</v>
      </c>
      <c r="BR72" s="328">
        <v>67824.059979838712</v>
      </c>
      <c r="BS72" s="328">
        <v>68500.904737903227</v>
      </c>
      <c r="BT72" s="328">
        <v>68724.480846774197</v>
      </c>
      <c r="BU72" s="328">
        <v>66429.480846774182</v>
      </c>
      <c r="BV72" s="328">
        <v>63588.351814516129</v>
      </c>
      <c r="BW72" s="328">
        <v>66402.384072580651</v>
      </c>
      <c r="BX72" s="328">
        <v>70905.260416666657</v>
      </c>
      <c r="BY72" s="328">
        <v>72930.645161290318</v>
      </c>
      <c r="BZ72" s="328">
        <v>74167.31182795699</v>
      </c>
      <c r="CA72" s="328">
        <v>76190.645161290318</v>
      </c>
      <c r="CB72" s="328">
        <v>78563.440860215051</v>
      </c>
      <c r="CC72" s="328">
        <v>82576.774193548394</v>
      </c>
      <c r="CD72" s="328">
        <v>83057.285786290318</v>
      </c>
      <c r="CE72" s="328">
        <v>87461.036626344096</v>
      </c>
      <c r="CF72" s="328">
        <v>95744.682459677424</v>
      </c>
      <c r="CG72" s="328">
        <v>100247.4932795699</v>
      </c>
      <c r="CH72" s="328">
        <v>93822.923387096787</v>
      </c>
      <c r="CI72" s="328">
        <v>89059.213709677409</v>
      </c>
      <c r="CJ72" s="328">
        <v>89672.547043010738</v>
      </c>
      <c r="CK72" s="328">
        <v>92655.342741935485</v>
      </c>
      <c r="CL72" s="328">
        <v>93595.342741935485</v>
      </c>
      <c r="CM72" s="324">
        <f t="shared" ref="CM72:CM73" si="105">AVERAGE(G72:CL72)</f>
        <v>80549.463627852514</v>
      </c>
    </row>
    <row r="73" spans="1:178">
      <c r="F73" s="330" t="s">
        <v>406</v>
      </c>
      <c r="G73" s="331">
        <v>91404.880812874995</v>
      </c>
      <c r="H73" s="331">
        <v>87094.764578674993</v>
      </c>
      <c r="I73" s="331">
        <v>77256.38140569166</v>
      </c>
      <c r="J73" s="331">
        <v>61325.996379656252</v>
      </c>
      <c r="K73" s="331">
        <v>64119.948843824997</v>
      </c>
      <c r="L73" s="331">
        <v>77013.163535779997</v>
      </c>
      <c r="M73" s="331">
        <v>83162.763292252494</v>
      </c>
      <c r="N73" s="331">
        <v>86773.900204894991</v>
      </c>
      <c r="O73" s="331">
        <v>81044.034106035004</v>
      </c>
      <c r="P73" s="331">
        <v>74891.803732367989</v>
      </c>
      <c r="Q73" s="331">
        <v>68413.046297037508</v>
      </c>
      <c r="R73" s="331">
        <v>66765.586722307518</v>
      </c>
      <c r="S73" s="331">
        <v>73130.399999999994</v>
      </c>
      <c r="T73" s="331">
        <v>75137.399999999994</v>
      </c>
      <c r="U73" s="331">
        <v>70196.399999999994</v>
      </c>
      <c r="V73" s="331">
        <v>67642.2</v>
      </c>
      <c r="W73" s="331">
        <v>66744</v>
      </c>
      <c r="X73" s="331">
        <v>71694.899999999994</v>
      </c>
      <c r="Y73" s="331">
        <v>73773</v>
      </c>
      <c r="Z73" s="331">
        <v>70695</v>
      </c>
      <c r="AA73" s="331">
        <v>66735</v>
      </c>
      <c r="AB73" s="331">
        <v>72495</v>
      </c>
      <c r="AC73" s="331">
        <v>71613</v>
      </c>
      <c r="AD73" s="331">
        <v>71172</v>
      </c>
      <c r="AE73" s="331">
        <v>69300</v>
      </c>
      <c r="AF73" s="331">
        <v>71055</v>
      </c>
      <c r="AG73" s="331">
        <v>71055</v>
      </c>
      <c r="AH73" s="331">
        <v>75069</v>
      </c>
      <c r="AI73" s="331">
        <v>75069</v>
      </c>
      <c r="AJ73" s="331">
        <v>78147</v>
      </c>
      <c r="AK73" s="331">
        <v>74601</v>
      </c>
      <c r="AL73" s="331">
        <v>73314</v>
      </c>
      <c r="AM73" s="331">
        <v>73314</v>
      </c>
      <c r="AN73" s="331">
        <v>71992.800000000003</v>
      </c>
      <c r="AO73" s="331">
        <v>74170.8</v>
      </c>
      <c r="AP73" s="331">
        <v>75970.8</v>
      </c>
      <c r="AQ73" s="331">
        <v>79579.8</v>
      </c>
      <c r="AR73" s="331">
        <v>78679.8</v>
      </c>
      <c r="AS73" s="331">
        <v>78679.8</v>
      </c>
      <c r="AT73" s="332">
        <v>82316.144548146898</v>
      </c>
      <c r="AU73" s="333">
        <v>87120.247838398529</v>
      </c>
      <c r="AV73" s="333">
        <v>88230.55929702321</v>
      </c>
      <c r="AW73" s="333">
        <v>88137.702676638582</v>
      </c>
      <c r="AX73" s="333">
        <v>90726.081075997456</v>
      </c>
      <c r="AY73" s="333">
        <v>93640.936364928682</v>
      </c>
      <c r="AZ73" s="333">
        <v>92952.565226764884</v>
      </c>
      <c r="BA73" s="333">
        <v>90410.936364928682</v>
      </c>
      <c r="BB73" s="333">
        <v>92250.936364928682</v>
      </c>
      <c r="BC73" s="333">
        <v>94825.936364928682</v>
      </c>
      <c r="BD73" s="333">
        <v>91827.603031595354</v>
      </c>
      <c r="BE73" s="333">
        <v>79800.936364928682</v>
      </c>
      <c r="BF73" s="333">
        <v>79925.936364928668</v>
      </c>
      <c r="BG73" s="333">
        <v>82092.565226764898</v>
      </c>
      <c r="BH73" s="333">
        <v>83705.936364928682</v>
      </c>
      <c r="BI73" s="333">
        <v>86337.244991853178</v>
      </c>
      <c r="BJ73" s="333">
        <v>88343.09322299331</v>
      </c>
      <c r="BK73" s="333">
        <v>84371.0867978694</v>
      </c>
      <c r="BL73" s="333">
        <v>82533.667556645247</v>
      </c>
      <c r="BM73" s="333">
        <v>83915.296418481477</v>
      </c>
      <c r="BN73" s="333">
        <v>85998.353851846667</v>
      </c>
      <c r="BO73" s="333">
        <v>83680.839372426868</v>
      </c>
      <c r="BP73" s="333">
        <v>78296.420131202744</v>
      </c>
      <c r="BQ73" s="333">
        <v>74908.667556645261</v>
      </c>
      <c r="BR73" s="333">
        <v>75368.667556645261</v>
      </c>
      <c r="BS73" s="333">
        <v>74755.334223311933</v>
      </c>
      <c r="BT73" s="333">
        <v>71698.667556645261</v>
      </c>
      <c r="BU73" s="333">
        <v>67093.667556645261</v>
      </c>
      <c r="BV73" s="333">
        <v>66173.667556645261</v>
      </c>
      <c r="BW73" s="333">
        <v>70296.297866503111</v>
      </c>
      <c r="BX73" s="333">
        <v>73811.225510968739</v>
      </c>
      <c r="BY73" s="333">
        <v>73104.932138219243</v>
      </c>
      <c r="BZ73" s="333">
        <v>73109.932138219243</v>
      </c>
      <c r="CA73" s="333">
        <v>76518.265471552571</v>
      </c>
      <c r="CB73" s="333">
        <v>82074.932138219243</v>
      </c>
      <c r="CC73" s="333">
        <v>90244.932138219243</v>
      </c>
      <c r="CD73" s="333">
        <v>93047.449038505991</v>
      </c>
      <c r="CE73" s="333">
        <v>98603.920574120828</v>
      </c>
      <c r="CF73" s="333">
        <v>112597.05572119531</v>
      </c>
      <c r="CG73" s="333">
        <v>112518.32981716725</v>
      </c>
      <c r="CH73" s="333">
        <v>106216.66315050058</v>
      </c>
      <c r="CI73" s="333">
        <v>98978.114255042339</v>
      </c>
      <c r="CJ73" s="333">
        <v>99434.349797459188</v>
      </c>
      <c r="CK73" s="333">
        <v>103781.54397226339</v>
      </c>
      <c r="CL73" s="333">
        <v>105181.5439722634</v>
      </c>
      <c r="CM73" s="324">
        <f t="shared" si="105"/>
        <v>80729.185183779831</v>
      </c>
    </row>
    <row r="74" spans="1:178">
      <c r="F74" s="293"/>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335"/>
      <c r="AU74" s="225"/>
      <c r="AV74" s="225"/>
      <c r="AW74" s="225"/>
      <c r="AX74" s="225"/>
      <c r="AY74" s="225"/>
      <c r="AZ74" s="225"/>
      <c r="BA74" s="225"/>
      <c r="BB74" s="225"/>
      <c r="BC74" s="225"/>
      <c r="BD74" s="225"/>
      <c r="BE74" s="225"/>
      <c r="BF74" s="225"/>
      <c r="BG74" s="225"/>
      <c r="BH74" s="225"/>
      <c r="BI74" s="225"/>
      <c r="BJ74" s="225"/>
      <c r="BK74" s="225"/>
      <c r="BL74" s="225"/>
      <c r="BM74" s="225"/>
      <c r="BN74" s="225"/>
      <c r="BO74" s="225"/>
      <c r="BP74" s="225"/>
      <c r="BQ74" s="225"/>
      <c r="BR74" s="225"/>
      <c r="BS74" s="225"/>
      <c r="BT74" s="225"/>
      <c r="BU74" s="225"/>
      <c r="BV74" s="225"/>
      <c r="BW74" s="225"/>
      <c r="BX74" s="225"/>
      <c r="BY74" s="225"/>
      <c r="BZ74" s="225"/>
      <c r="CA74" s="225"/>
      <c r="CB74" s="225"/>
      <c r="CC74" s="225"/>
      <c r="CD74" s="225"/>
      <c r="CE74" s="225"/>
      <c r="CF74" s="225"/>
      <c r="CG74" s="225"/>
      <c r="CH74" s="225"/>
      <c r="CI74" s="225"/>
      <c r="CJ74" s="225"/>
      <c r="CK74" s="225"/>
      <c r="CL74" s="225"/>
      <c r="CM74" s="336"/>
    </row>
  </sheetData>
  <mergeCells count="11">
    <mergeCell ref="A58:E67"/>
    <mergeCell ref="A3:A7"/>
    <mergeCell ref="A8:A12"/>
    <mergeCell ref="A13:A16"/>
    <mergeCell ref="E13:E16"/>
    <mergeCell ref="A17:A23"/>
    <mergeCell ref="E17:E23"/>
    <mergeCell ref="A24:A34"/>
    <mergeCell ref="A35:A41"/>
    <mergeCell ref="E35:E41"/>
    <mergeCell ref="A43:A4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A671-80F1-4227-BA43-27CFE0B7B714}">
  <sheetPr codeName="Sheet24"/>
  <dimension ref="A1:FW75"/>
  <sheetViews>
    <sheetView showGridLines="0" topLeftCell="B1" zoomScale="90" zoomScaleNormal="90" workbookViewId="0">
      <selection activeCell="F29" sqref="F29"/>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37" customWidth="1"/>
    <col min="7" max="7" width="16.28515625" style="337" bestFit="1" customWidth="1"/>
    <col min="8" max="8" width="17.140625" style="337" customWidth="1"/>
    <col min="9" max="9" width="16.7109375" style="337" customWidth="1"/>
    <col min="10" max="10" width="16.140625" style="337" customWidth="1"/>
    <col min="11" max="11" width="15.85546875" style="337" customWidth="1"/>
    <col min="12" max="12" width="15.5703125" style="337" customWidth="1"/>
    <col min="13" max="13" width="15.85546875" style="337" customWidth="1"/>
    <col min="14" max="16" width="16.5703125" style="337" customWidth="1"/>
    <col min="17" max="17" width="14.5703125" style="337" customWidth="1"/>
    <col min="18" max="18" width="17.2851562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51" t="s">
        <v>299</v>
      </c>
      <c r="B1" s="351" t="s">
        <v>300</v>
      </c>
      <c r="C1" s="352" t="s">
        <v>146</v>
      </c>
      <c r="D1" s="352" t="s">
        <v>162</v>
      </c>
      <c r="E1" s="351" t="s">
        <v>301</v>
      </c>
      <c r="F1" s="353" t="s">
        <v>4</v>
      </c>
      <c r="G1" s="354">
        <v>41913</v>
      </c>
      <c r="H1" s="354">
        <v>41944</v>
      </c>
      <c r="I1" s="354">
        <v>41974</v>
      </c>
      <c r="J1" s="354">
        <v>42005</v>
      </c>
      <c r="K1" s="354">
        <v>42036</v>
      </c>
      <c r="L1" s="354">
        <v>42064</v>
      </c>
      <c r="M1" s="354">
        <v>42095</v>
      </c>
      <c r="N1" s="354">
        <v>42125</v>
      </c>
      <c r="O1" s="354">
        <v>42156</v>
      </c>
      <c r="P1" s="354">
        <v>42186</v>
      </c>
      <c r="Q1" s="354">
        <v>42217</v>
      </c>
      <c r="R1" s="354">
        <v>42248</v>
      </c>
      <c r="S1" s="354">
        <v>42278</v>
      </c>
      <c r="T1" s="354">
        <v>42309</v>
      </c>
      <c r="U1" s="354">
        <v>42339</v>
      </c>
      <c r="V1" s="354">
        <v>42370</v>
      </c>
      <c r="W1" s="354">
        <v>42401</v>
      </c>
      <c r="X1" s="354">
        <v>42430</v>
      </c>
      <c r="Y1" s="354">
        <v>42461</v>
      </c>
      <c r="Z1" s="354">
        <v>42491</v>
      </c>
      <c r="AA1" s="354">
        <v>42522</v>
      </c>
      <c r="AB1" s="354">
        <v>42552</v>
      </c>
      <c r="AC1" s="354">
        <v>42583</v>
      </c>
      <c r="AD1" s="354">
        <v>42614</v>
      </c>
      <c r="AE1" s="354">
        <v>42644</v>
      </c>
      <c r="AF1" s="354">
        <v>42675</v>
      </c>
      <c r="AG1" s="354">
        <v>42705</v>
      </c>
      <c r="AH1" s="354">
        <v>42736</v>
      </c>
      <c r="AI1" s="354">
        <v>42767</v>
      </c>
      <c r="AJ1" s="354">
        <v>42795</v>
      </c>
      <c r="AK1" s="354">
        <v>42826</v>
      </c>
      <c r="AL1" s="354">
        <v>42856</v>
      </c>
      <c r="AM1" s="354">
        <v>42887</v>
      </c>
      <c r="AN1" s="354">
        <v>42917</v>
      </c>
      <c r="AO1" s="354">
        <v>42948</v>
      </c>
      <c r="AP1" s="354">
        <v>42979</v>
      </c>
      <c r="AQ1" s="354">
        <v>43009</v>
      </c>
      <c r="AR1" s="354">
        <v>43040</v>
      </c>
      <c r="AS1" s="354">
        <v>43070</v>
      </c>
      <c r="AT1" s="354">
        <v>43101</v>
      </c>
      <c r="AU1" s="354">
        <v>43132</v>
      </c>
      <c r="AV1" s="354">
        <v>43160</v>
      </c>
      <c r="AW1" s="354">
        <v>43191</v>
      </c>
      <c r="AX1" s="354">
        <v>43221</v>
      </c>
      <c r="AY1" s="354">
        <v>43252</v>
      </c>
      <c r="AZ1" s="354">
        <v>43282</v>
      </c>
      <c r="BA1" s="354">
        <v>43313</v>
      </c>
      <c r="BB1" s="354">
        <v>43344</v>
      </c>
      <c r="BC1" s="354">
        <v>43374</v>
      </c>
      <c r="BD1" s="354">
        <v>43405</v>
      </c>
      <c r="BE1" s="354">
        <v>43435</v>
      </c>
      <c r="BF1" s="354">
        <v>43466</v>
      </c>
      <c r="BG1" s="354">
        <v>43497</v>
      </c>
      <c r="BH1" s="354">
        <v>43525</v>
      </c>
      <c r="BI1" s="354">
        <v>43556</v>
      </c>
      <c r="BJ1" s="354">
        <v>43586</v>
      </c>
      <c r="BK1" s="354">
        <v>43617</v>
      </c>
      <c r="BL1" s="354">
        <v>43647</v>
      </c>
      <c r="BM1" s="354">
        <v>43678</v>
      </c>
      <c r="BN1" s="354">
        <v>43709</v>
      </c>
      <c r="BO1" s="354">
        <v>43739</v>
      </c>
      <c r="BP1" s="354">
        <v>43770</v>
      </c>
      <c r="BQ1" s="354">
        <v>43800</v>
      </c>
      <c r="BR1" s="354">
        <v>43831</v>
      </c>
      <c r="BS1" s="354">
        <v>43862</v>
      </c>
      <c r="BT1" s="354">
        <v>43891</v>
      </c>
      <c r="BU1" s="354">
        <v>43922</v>
      </c>
      <c r="BV1" s="354">
        <v>43952</v>
      </c>
      <c r="BW1" s="354">
        <v>43983</v>
      </c>
      <c r="BX1" s="354">
        <v>44013</v>
      </c>
      <c r="BY1" s="354">
        <v>44044</v>
      </c>
      <c r="BZ1" s="354">
        <v>44075</v>
      </c>
      <c r="CA1" s="354">
        <v>44105</v>
      </c>
      <c r="CB1" s="354">
        <v>44136</v>
      </c>
      <c r="CC1" s="354">
        <v>44166</v>
      </c>
      <c r="CD1" s="354">
        <v>44197</v>
      </c>
      <c r="CE1" s="354">
        <v>44228</v>
      </c>
      <c r="CF1" s="354">
        <v>44256</v>
      </c>
      <c r="CG1" s="354">
        <v>44287</v>
      </c>
      <c r="CH1" s="354">
        <v>44317</v>
      </c>
      <c r="CI1" s="354">
        <v>44348</v>
      </c>
      <c r="CJ1" s="354">
        <v>44378</v>
      </c>
      <c r="CK1" s="354">
        <v>44409</v>
      </c>
      <c r="CL1" s="354">
        <v>44440</v>
      </c>
      <c r="CM1" s="355" t="s">
        <v>402</v>
      </c>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c r="FT1" s="58"/>
      <c r="FU1" s="58"/>
      <c r="FV1" s="58"/>
    </row>
    <row r="2" spans="1:178">
      <c r="A2" s="1049" t="s">
        <v>302</v>
      </c>
      <c r="B2" s="286" t="s">
        <v>303</v>
      </c>
      <c r="C2" s="356" t="s">
        <v>142</v>
      </c>
      <c r="D2" s="356"/>
      <c r="E2" s="357" t="s">
        <v>348</v>
      </c>
      <c r="F2" s="358" t="s">
        <v>148</v>
      </c>
      <c r="G2" s="635">
        <v>25051.559218632909</v>
      </c>
      <c r="H2" s="635">
        <v>27593.24204757651</v>
      </c>
      <c r="I2" s="635">
        <v>28012.136853410473</v>
      </c>
      <c r="J2" s="635">
        <v>27577.700544958916</v>
      </c>
      <c r="K2" s="635">
        <v>27481.31622840108</v>
      </c>
      <c r="L2" s="635">
        <v>27607.523931302298</v>
      </c>
      <c r="M2" s="635">
        <v>27597.74531564931</v>
      </c>
      <c r="N2" s="635">
        <v>27854.557455066533</v>
      </c>
      <c r="O2" s="635">
        <v>26743.261986573205</v>
      </c>
      <c r="P2" s="635">
        <v>26687.129720517063</v>
      </c>
      <c r="Q2" s="635">
        <v>27074.326659399911</v>
      </c>
      <c r="R2" s="635">
        <v>27285.646368670299</v>
      </c>
      <c r="S2" s="636">
        <v>26985.210786884072</v>
      </c>
      <c r="T2" s="636">
        <v>27119.712595203164</v>
      </c>
      <c r="U2" s="636">
        <v>24559.655377530657</v>
      </c>
      <c r="V2" s="636">
        <v>24801.57436204391</v>
      </c>
      <c r="W2" s="636">
        <v>24870.311190448319</v>
      </c>
      <c r="X2" s="636">
        <v>24446.934781510517</v>
      </c>
      <c r="Y2" s="636">
        <v>22045.867003269224</v>
      </c>
      <c r="Z2" s="636">
        <v>22137.574596072831</v>
      </c>
      <c r="AA2" s="636">
        <v>22178.854940817506</v>
      </c>
      <c r="AB2" s="636">
        <v>22379.603632359234</v>
      </c>
      <c r="AC2" s="636">
        <v>22316.947113023158</v>
      </c>
      <c r="AD2" s="636">
        <v>22332.476652334251</v>
      </c>
      <c r="AE2" s="636">
        <v>20547.189548460563</v>
      </c>
      <c r="AF2" s="636">
        <v>20686.688386935857</v>
      </c>
      <c r="AG2" s="636">
        <v>20767.688768450629</v>
      </c>
      <c r="AH2" s="636">
        <v>20974.727775313953</v>
      </c>
      <c r="AI2" s="636">
        <v>20672.545970582461</v>
      </c>
      <c r="AJ2" s="636">
        <v>20293.117385852278</v>
      </c>
      <c r="AK2" s="636">
        <v>20200.146638921942</v>
      </c>
      <c r="AL2" s="636">
        <v>20196.506776671627</v>
      </c>
      <c r="AM2" s="636">
        <v>20223.802937420794</v>
      </c>
      <c r="AN2" s="636">
        <v>20150.57410364203</v>
      </c>
      <c r="AO2" s="636">
        <v>20100.42716295533</v>
      </c>
      <c r="AP2" s="636">
        <v>20160.607048690799</v>
      </c>
      <c r="AQ2" s="636">
        <v>21512.598338117936</v>
      </c>
      <c r="AR2" s="636">
        <v>21440.681299757798</v>
      </c>
      <c r="AS2" s="636">
        <v>21375.006278206383</v>
      </c>
      <c r="AT2" s="360">
        <v>21264.945629393325</v>
      </c>
      <c r="AU2" s="359">
        <v>21626.25432492559</v>
      </c>
      <c r="AV2" s="359">
        <v>21445.092194859229</v>
      </c>
      <c r="AW2" s="359">
        <v>22147.037628372043</v>
      </c>
      <c r="AX2" s="359">
        <v>22445.482010415642</v>
      </c>
      <c r="AY2" s="359">
        <v>22538.5668207372</v>
      </c>
      <c r="AZ2" s="359">
        <v>22683.6305748698</v>
      </c>
      <c r="BA2" s="359">
        <v>22868.012166738616</v>
      </c>
      <c r="BB2" s="359">
        <v>23306.497621107381</v>
      </c>
      <c r="BC2" s="359">
        <v>24536.041846827407</v>
      </c>
      <c r="BD2" s="359">
        <v>24203.915200642215</v>
      </c>
      <c r="BE2" s="359">
        <v>24491.675246010553</v>
      </c>
      <c r="BF2" s="359">
        <v>24292.077229718714</v>
      </c>
      <c r="BG2" s="359">
        <v>24128.241318298198</v>
      </c>
      <c r="BH2" s="359">
        <v>23761.712949891597</v>
      </c>
      <c r="BI2" s="359">
        <v>24843.635694978242</v>
      </c>
      <c r="BJ2" s="359">
        <v>24889.595741342779</v>
      </c>
      <c r="BK2" s="359">
        <v>24792.951183985791</v>
      </c>
      <c r="BL2" s="359">
        <v>24652.724211645604</v>
      </c>
      <c r="BM2" s="359">
        <v>25061.274790299325</v>
      </c>
      <c r="BN2" s="359">
        <v>25041.412268402801</v>
      </c>
      <c r="BO2" s="359">
        <v>23495.434939051891</v>
      </c>
      <c r="BP2" s="359">
        <v>23673.81529877572</v>
      </c>
      <c r="BQ2" s="359">
        <v>23573.595963335527</v>
      </c>
      <c r="BR2" s="359">
        <v>23479.455550506904</v>
      </c>
      <c r="BS2" s="359">
        <v>23512.648105033688</v>
      </c>
      <c r="BT2" s="359">
        <v>24044.179913260727</v>
      </c>
      <c r="BU2" s="359">
        <v>21100.991191054774</v>
      </c>
      <c r="BV2" s="359">
        <v>21092.534393078553</v>
      </c>
      <c r="BW2" s="359">
        <v>21063.973291058388</v>
      </c>
      <c r="BX2" s="359">
        <v>20903.791448053176</v>
      </c>
      <c r="BY2" s="359">
        <v>20914.370973911587</v>
      </c>
      <c r="BZ2" s="359">
        <v>21019.732751442622</v>
      </c>
      <c r="CA2" s="359">
        <v>18780.274489166361</v>
      </c>
      <c r="CB2" s="359">
        <v>19076.949846441006</v>
      </c>
      <c r="CC2" s="359">
        <v>18985.314968969273</v>
      </c>
      <c r="CD2" s="359">
        <v>18811.337161167783</v>
      </c>
      <c r="CE2" s="359">
        <v>18898.47987721788</v>
      </c>
      <c r="CF2" s="359">
        <v>18893.208776558538</v>
      </c>
      <c r="CG2" s="359">
        <v>19011.609417033724</v>
      </c>
      <c r="CH2" s="359">
        <v>18930.779623608083</v>
      </c>
      <c r="CI2" s="359">
        <v>19067.811604202692</v>
      </c>
      <c r="CJ2" s="359">
        <v>19300.900599042274</v>
      </c>
      <c r="CK2" s="359">
        <v>19355.415368688551</v>
      </c>
      <c r="CL2" s="358">
        <v>19439.998983248683</v>
      </c>
      <c r="CM2" s="359">
        <f t="shared" ref="CM2:CM13" si="0">AVERAGE(G2:CL2)</f>
        <v>22779.649511535779</v>
      </c>
      <c r="CN2" s="361" t="s">
        <v>163</v>
      </c>
      <c r="CO2" s="361"/>
      <c r="CP2" s="361"/>
      <c r="CQ2" s="361"/>
      <c r="CR2" s="361"/>
      <c r="CS2" s="361"/>
      <c r="CT2" s="361"/>
      <c r="CU2" s="361"/>
      <c r="CV2" s="361"/>
      <c r="CW2" s="361"/>
      <c r="CX2" s="361"/>
      <c r="CY2" s="361"/>
      <c r="CZ2" s="361"/>
      <c r="DA2" s="361"/>
      <c r="DB2" s="361"/>
      <c r="DC2" s="361"/>
      <c r="DD2" s="361"/>
      <c r="DE2" s="361"/>
      <c r="DF2" s="361"/>
      <c r="DG2" s="361"/>
      <c r="DH2" s="361"/>
      <c r="DI2" s="361"/>
      <c r="DJ2" s="361"/>
      <c r="DK2" s="361"/>
      <c r="DL2" s="361"/>
      <c r="DM2" s="361"/>
      <c r="DN2" s="361"/>
      <c r="DO2" s="361"/>
      <c r="DP2" s="361"/>
      <c r="DQ2" s="361"/>
      <c r="DR2" s="361"/>
      <c r="DS2" s="361"/>
      <c r="DT2" s="361"/>
      <c r="DU2" s="361"/>
      <c r="DV2" s="361"/>
      <c r="DW2" s="361"/>
      <c r="DX2" s="361"/>
      <c r="DY2" s="361"/>
      <c r="DZ2" s="361"/>
      <c r="EA2" s="361"/>
      <c r="EB2" s="361"/>
      <c r="EC2" s="58"/>
      <c r="ED2" s="58"/>
      <c r="EE2" s="58"/>
      <c r="EF2" s="58"/>
      <c r="EG2" s="58"/>
      <c r="EH2" s="58"/>
      <c r="EI2" s="58"/>
      <c r="EJ2" s="58"/>
      <c r="EK2" s="58"/>
      <c r="EL2" s="58"/>
      <c r="EM2" s="58"/>
      <c r="EN2" s="58"/>
      <c r="EO2" s="58"/>
      <c r="EP2" s="58"/>
      <c r="EQ2" s="58"/>
      <c r="ER2" s="58"/>
      <c r="ES2" s="58"/>
      <c r="ET2" s="58"/>
      <c r="EU2" s="58"/>
      <c r="EV2" s="58"/>
      <c r="EW2" s="58"/>
      <c r="EX2" s="58"/>
      <c r="EY2" s="58"/>
      <c r="EZ2" s="58"/>
      <c r="FA2" s="58"/>
      <c r="FB2" s="58"/>
      <c r="FC2" s="58"/>
      <c r="FD2" s="58"/>
      <c r="FE2" s="58"/>
      <c r="FF2" s="58"/>
      <c r="FG2" s="58"/>
      <c r="FH2" s="58"/>
      <c r="FI2" s="58"/>
      <c r="FJ2" s="58"/>
      <c r="FK2" s="58"/>
      <c r="FL2" s="58"/>
      <c r="FM2" s="58"/>
      <c r="FN2" s="58"/>
      <c r="FO2" s="58"/>
      <c r="FP2" s="58"/>
      <c r="FQ2" s="58"/>
      <c r="FR2" s="58"/>
      <c r="FS2" s="58"/>
      <c r="FT2" s="58"/>
      <c r="FU2" s="58"/>
      <c r="FV2" s="58"/>
    </row>
    <row r="3" spans="1:178">
      <c r="A3" s="1050"/>
      <c r="B3" s="2" t="s">
        <v>303</v>
      </c>
      <c r="C3" s="362" t="s">
        <v>142</v>
      </c>
      <c r="D3" s="362"/>
      <c r="E3" s="58" t="s">
        <v>348</v>
      </c>
      <c r="F3" s="363" t="s">
        <v>0</v>
      </c>
      <c r="G3" s="641">
        <v>48731.438403966153</v>
      </c>
      <c r="H3" s="641">
        <v>40653.741966813206</v>
      </c>
      <c r="I3" s="641">
        <v>37277.757960008501</v>
      </c>
      <c r="J3" s="641">
        <v>28519.649598298754</v>
      </c>
      <c r="K3" s="641">
        <v>30164.233428148502</v>
      </c>
      <c r="L3" s="641">
        <v>33757.337777210007</v>
      </c>
      <c r="M3" s="641">
        <v>31176.922022252798</v>
      </c>
      <c r="N3" s="641">
        <v>32035.2307532835</v>
      </c>
      <c r="O3" s="641">
        <v>27927.254033858248</v>
      </c>
      <c r="P3" s="641">
        <v>27159.037925993551</v>
      </c>
      <c r="Q3" s="641">
        <v>25666.771575581202</v>
      </c>
      <c r="R3" s="641">
        <v>22528.1936837664</v>
      </c>
      <c r="S3" s="642">
        <v>25303.943832667195</v>
      </c>
      <c r="T3" s="642">
        <v>28232.645636790799</v>
      </c>
      <c r="U3" s="642">
        <v>33064.126052302599</v>
      </c>
      <c r="V3" s="642">
        <v>25129.762092000001</v>
      </c>
      <c r="W3" s="642">
        <v>20985.703351000004</v>
      </c>
      <c r="X3" s="642">
        <v>20863.787538</v>
      </c>
      <c r="Y3" s="642">
        <v>22980.5913</v>
      </c>
      <c r="Z3" s="642">
        <v>23490.911473</v>
      </c>
      <c r="AA3" s="642">
        <v>23940.813190000001</v>
      </c>
      <c r="AB3" s="642">
        <v>21332.030572000003</v>
      </c>
      <c r="AC3" s="642">
        <v>20596.220090000003</v>
      </c>
      <c r="AD3" s="642">
        <v>21258.665304000002</v>
      </c>
      <c r="AE3" s="642">
        <v>24488.894897999999</v>
      </c>
      <c r="AF3" s="642">
        <v>28548.799361000005</v>
      </c>
      <c r="AG3" s="642">
        <v>27794.647561999998</v>
      </c>
      <c r="AH3" s="642">
        <v>31947.337511000002</v>
      </c>
      <c r="AI3" s="642">
        <v>36811.023219000002</v>
      </c>
      <c r="AJ3" s="642">
        <v>34042.563253</v>
      </c>
      <c r="AK3" s="642">
        <v>29885.557700000001</v>
      </c>
      <c r="AL3" s="642">
        <v>26758.902602000002</v>
      </c>
      <c r="AM3" s="642">
        <v>26769.691612000002</v>
      </c>
      <c r="AN3" s="642">
        <v>23953.760002000003</v>
      </c>
      <c r="AO3" s="642">
        <v>28997.622177000001</v>
      </c>
      <c r="AP3" s="642">
        <v>33402.774960000002</v>
      </c>
      <c r="AQ3" s="642">
        <v>40322.845974000003</v>
      </c>
      <c r="AR3" s="642">
        <v>40216.034775</v>
      </c>
      <c r="AS3" s="642">
        <v>40827.771642</v>
      </c>
      <c r="AT3" s="364">
        <v>40534.310570000001</v>
      </c>
      <c r="AU3" s="319">
        <v>36555.323682000002</v>
      </c>
      <c r="AV3" s="319">
        <v>33697.314933000001</v>
      </c>
      <c r="AW3" s="319">
        <v>33723.208557000005</v>
      </c>
      <c r="AX3" s="319">
        <v>36395.646334000005</v>
      </c>
      <c r="AY3" s="319">
        <v>41040.315139000006</v>
      </c>
      <c r="AZ3" s="319">
        <v>41108.285902000003</v>
      </c>
      <c r="BA3" s="319">
        <v>43701.963906000004</v>
      </c>
      <c r="BB3" s="319">
        <v>46676.493963000001</v>
      </c>
      <c r="BC3" s="319">
        <v>51876.796783000005</v>
      </c>
      <c r="BD3" s="319">
        <v>41509.637073999998</v>
      </c>
      <c r="BE3" s="319">
        <v>33991.854906000008</v>
      </c>
      <c r="BF3" s="319">
        <v>32832.036331000003</v>
      </c>
      <c r="BG3" s="319">
        <v>33778.232508000001</v>
      </c>
      <c r="BH3" s="319">
        <v>36695.580812</v>
      </c>
      <c r="BI3" s="319">
        <v>38546.974928000003</v>
      </c>
      <c r="BJ3" s="319">
        <v>39516.906927000004</v>
      </c>
      <c r="BK3" s="319">
        <v>32215.98386</v>
      </c>
      <c r="BL3" s="319">
        <v>27843.198107</v>
      </c>
      <c r="BM3" s="319">
        <v>28393.437617000003</v>
      </c>
      <c r="BN3" s="319">
        <v>26826.873364999999</v>
      </c>
      <c r="BO3" s="319">
        <v>32126.435077000002</v>
      </c>
      <c r="BP3" s="319">
        <v>33215.046186000007</v>
      </c>
      <c r="BQ3" s="319">
        <v>33796.573824999999</v>
      </c>
      <c r="BR3" s="319">
        <v>43443.027666000002</v>
      </c>
      <c r="BS3" s="319">
        <v>39155.475092000001</v>
      </c>
      <c r="BT3" s="319">
        <v>34711.481873000004</v>
      </c>
      <c r="BU3" s="319">
        <v>18899.108817</v>
      </c>
      <c r="BV3" s="319">
        <v>27786.016353999999</v>
      </c>
      <c r="BW3" s="319">
        <v>28608.138916000004</v>
      </c>
      <c r="BX3" s="319">
        <v>29086.092059000002</v>
      </c>
      <c r="BY3" s="319">
        <v>29298.635556000001</v>
      </c>
      <c r="BZ3" s="319">
        <v>28929.651414</v>
      </c>
      <c r="CA3" s="319">
        <v>29806.797927</v>
      </c>
      <c r="CB3" s="319">
        <v>34388.890474</v>
      </c>
      <c r="CC3" s="319">
        <v>35712.702000999998</v>
      </c>
      <c r="CD3" s="319">
        <v>43363.188992000003</v>
      </c>
      <c r="CE3" s="319">
        <v>47639.952556000004</v>
      </c>
      <c r="CF3" s="319">
        <v>49092.153302000006</v>
      </c>
      <c r="CG3" s="319">
        <v>45010.670818999999</v>
      </c>
      <c r="CH3" s="319">
        <v>38956.957307999997</v>
      </c>
      <c r="CI3" s="319">
        <v>42177.476793000002</v>
      </c>
      <c r="CJ3" s="319">
        <v>49813.938071000004</v>
      </c>
      <c r="CK3" s="319">
        <v>52666.552315000008</v>
      </c>
      <c r="CL3" s="363">
        <v>52842.413178000003</v>
      </c>
      <c r="CM3" s="319">
        <f t="shared" si="0"/>
        <v>33637.294637904051</v>
      </c>
      <c r="CN3" s="58"/>
      <c r="CO3" s="361" t="s">
        <v>164</v>
      </c>
      <c r="CP3" s="361" t="s">
        <v>165</v>
      </c>
      <c r="CQ3" s="361" t="s">
        <v>166</v>
      </c>
      <c r="CR3" s="361" t="s">
        <v>1</v>
      </c>
      <c r="CS3" s="58"/>
      <c r="CT3" s="58"/>
      <c r="CU3" s="58"/>
      <c r="CV3" s="58"/>
      <c r="CW3" s="58"/>
      <c r="DB3" s="75"/>
      <c r="DC3" s="75"/>
      <c r="DD3" s="75"/>
      <c r="DE3" s="75"/>
      <c r="DF3" s="75"/>
      <c r="DG3" s="75"/>
      <c r="DH3" s="75"/>
      <c r="DI3" s="75"/>
      <c r="DJ3" s="75"/>
      <c r="DK3" s="75"/>
      <c r="DL3" s="75"/>
      <c r="DM3" s="75"/>
      <c r="DN3" s="75"/>
      <c r="DO3" s="75"/>
      <c r="DP3" s="75"/>
      <c r="DQ3" s="75"/>
      <c r="DR3" s="75"/>
      <c r="DS3" s="75"/>
      <c r="DT3" s="75"/>
      <c r="DU3" s="75"/>
      <c r="DV3" s="75"/>
      <c r="DW3" s="75"/>
      <c r="DX3" s="75"/>
      <c r="DY3" s="75"/>
      <c r="DZ3" s="75"/>
      <c r="EA3" s="75"/>
      <c r="EB3" s="75"/>
      <c r="EC3" s="58"/>
      <c r="ED3" s="58"/>
      <c r="EE3" s="58"/>
      <c r="EF3" s="58"/>
      <c r="EG3" s="58"/>
      <c r="EH3" s="58"/>
      <c r="EI3" s="58"/>
      <c r="EJ3" s="58"/>
      <c r="EK3" s="58"/>
      <c r="EL3" s="58"/>
      <c r="EM3" s="58"/>
      <c r="EN3" s="58"/>
      <c r="EO3" s="58"/>
      <c r="EP3" s="58"/>
      <c r="EQ3" s="58"/>
      <c r="ER3" s="58"/>
      <c r="ES3" s="58"/>
      <c r="ET3" s="58"/>
      <c r="EU3" s="58"/>
      <c r="EV3" s="58"/>
      <c r="EW3" s="58"/>
      <c r="EX3" s="58"/>
      <c r="EY3" s="58"/>
      <c r="EZ3" s="58"/>
      <c r="FA3" s="58"/>
      <c r="FB3" s="58"/>
      <c r="FC3" s="58"/>
      <c r="FD3" s="58"/>
      <c r="FE3" s="58"/>
      <c r="FF3" s="58"/>
      <c r="FG3" s="58"/>
      <c r="FH3" s="58"/>
      <c r="FI3" s="58"/>
      <c r="FJ3" s="58"/>
      <c r="FK3" s="58"/>
      <c r="FL3" s="58"/>
      <c r="FM3" s="58"/>
      <c r="FN3" s="58"/>
      <c r="FO3" s="58"/>
      <c r="FP3" s="58"/>
      <c r="FQ3" s="58"/>
      <c r="FR3" s="58"/>
      <c r="FS3" s="58"/>
      <c r="FT3" s="58"/>
      <c r="FU3" s="58"/>
      <c r="FV3" s="58"/>
    </row>
    <row r="4" spans="1:178">
      <c r="A4" s="1050"/>
      <c r="B4" s="2" t="s">
        <v>303</v>
      </c>
      <c r="C4" s="362" t="s">
        <v>142</v>
      </c>
      <c r="D4" s="362"/>
      <c r="E4" s="58" t="s">
        <v>348</v>
      </c>
      <c r="F4" s="363" t="s">
        <v>304</v>
      </c>
      <c r="G4" s="641">
        <v>49114.0222634565</v>
      </c>
      <c r="H4" s="641">
        <v>38720.781829679996</v>
      </c>
      <c r="I4" s="641">
        <v>37409.691468650999</v>
      </c>
      <c r="J4" s="641">
        <v>30540.439970405001</v>
      </c>
      <c r="K4" s="641">
        <v>31156.107426096001</v>
      </c>
      <c r="L4" s="641">
        <v>30073.099605308002</v>
      </c>
      <c r="M4" s="641">
        <v>30845.757435424002</v>
      </c>
      <c r="N4" s="641">
        <v>31687.697930225004</v>
      </c>
      <c r="O4" s="641">
        <v>29379.747895740002</v>
      </c>
      <c r="P4" s="641">
        <v>28296.217956442502</v>
      </c>
      <c r="Q4" s="641">
        <v>27237.080130880004</v>
      </c>
      <c r="R4" s="641">
        <v>23892.252103007999</v>
      </c>
      <c r="S4" s="642">
        <v>24842.812105361998</v>
      </c>
      <c r="T4" s="642">
        <v>30106.891295556001</v>
      </c>
      <c r="U4" s="642">
        <v>33060.925121352499</v>
      </c>
      <c r="V4" s="642">
        <v>27538</v>
      </c>
      <c r="W4" s="642">
        <v>22486</v>
      </c>
      <c r="X4" s="642">
        <v>22318</v>
      </c>
      <c r="Y4" s="642">
        <v>24367</v>
      </c>
      <c r="Z4" s="642">
        <v>26626</v>
      </c>
      <c r="AA4" s="642">
        <v>25670</v>
      </c>
      <c r="AB4" s="642">
        <v>21731</v>
      </c>
      <c r="AC4" s="642">
        <v>20316</v>
      </c>
      <c r="AD4" s="642">
        <v>22355</v>
      </c>
      <c r="AE4" s="642">
        <v>25834</v>
      </c>
      <c r="AF4" s="642">
        <v>31223</v>
      </c>
      <c r="AG4" s="642">
        <v>29781</v>
      </c>
      <c r="AH4" s="642">
        <v>35242</v>
      </c>
      <c r="AI4" s="642">
        <v>41983</v>
      </c>
      <c r="AJ4" s="642">
        <v>41252</v>
      </c>
      <c r="AK4" s="642">
        <v>33014</v>
      </c>
      <c r="AL4" s="642">
        <v>26278</v>
      </c>
      <c r="AM4" s="642">
        <v>26288</v>
      </c>
      <c r="AN4" s="642">
        <v>24567</v>
      </c>
      <c r="AO4" s="642">
        <v>30788</v>
      </c>
      <c r="AP4" s="642">
        <v>33730</v>
      </c>
      <c r="AQ4" s="642">
        <v>39430</v>
      </c>
      <c r="AR4" s="642">
        <v>39325</v>
      </c>
      <c r="AS4" s="642">
        <v>38237</v>
      </c>
      <c r="AT4" s="364">
        <v>37934.865946679616</v>
      </c>
      <c r="AU4" s="319">
        <v>33977.640442957862</v>
      </c>
      <c r="AV4" s="319">
        <v>31621.932879798373</v>
      </c>
      <c r="AW4" s="319">
        <v>32245.619069523007</v>
      </c>
      <c r="AX4" s="319">
        <v>35684.70245863789</v>
      </c>
      <c r="AY4" s="319">
        <v>39729.847125147098</v>
      </c>
      <c r="AZ4" s="319">
        <v>40952.16644234657</v>
      </c>
      <c r="BA4" s="319">
        <v>43265.008516764698</v>
      </c>
      <c r="BB4" s="319">
        <v>47988.175639430039</v>
      </c>
      <c r="BC4" s="319">
        <v>50433.177687914897</v>
      </c>
      <c r="BD4" s="319">
        <v>39526.941750297483</v>
      </c>
      <c r="BE4" s="319">
        <v>30706.727022092222</v>
      </c>
      <c r="BF4" s="319">
        <v>31116.496307792124</v>
      </c>
      <c r="BG4" s="319">
        <v>35009.966798561858</v>
      </c>
      <c r="BH4" s="319">
        <v>37788.034281404027</v>
      </c>
      <c r="BI4" s="319">
        <v>38867.056236388496</v>
      </c>
      <c r="BJ4" s="319">
        <v>38678.266268318395</v>
      </c>
      <c r="BK4" s="319">
        <v>30138.909034848981</v>
      </c>
      <c r="BL4" s="319">
        <v>25548.609383721534</v>
      </c>
      <c r="BM4" s="319">
        <v>26760.845915432019</v>
      </c>
      <c r="BN4" s="319">
        <v>26872.996097798805</v>
      </c>
      <c r="BO4" s="319">
        <v>32318.693176917925</v>
      </c>
      <c r="BP4" s="319">
        <v>33253.389942674119</v>
      </c>
      <c r="BQ4" s="319">
        <v>33880.879188109247</v>
      </c>
      <c r="BR4" s="319">
        <v>44015.264630194491</v>
      </c>
      <c r="BS4" s="319">
        <v>40776.774414982094</v>
      </c>
      <c r="BT4" s="319">
        <v>37265.269327664537</v>
      </c>
      <c r="BU4" s="319">
        <v>19125.668604651164</v>
      </c>
      <c r="BV4" s="319">
        <v>26903.941500000001</v>
      </c>
      <c r="BW4" s="319">
        <v>26159.661614028053</v>
      </c>
      <c r="BX4" s="319">
        <v>26674.737698603414</v>
      </c>
      <c r="BY4" s="319">
        <v>26951.072804257299</v>
      </c>
      <c r="BZ4" s="319">
        <v>27292.749632570878</v>
      </c>
      <c r="CA4" s="319">
        <v>29207.059319259082</v>
      </c>
      <c r="CB4" s="319">
        <v>34185.03825123742</v>
      </c>
      <c r="CC4" s="319">
        <v>35409.408776058146</v>
      </c>
      <c r="CD4" s="319">
        <v>40548.590675430503</v>
      </c>
      <c r="CE4" s="319">
        <v>44551.491526971819</v>
      </c>
      <c r="CF4" s="319">
        <v>45328.551547510528</v>
      </c>
      <c r="CG4" s="319">
        <v>41304.84915769448</v>
      </c>
      <c r="CH4" s="319">
        <v>36449.953636561011</v>
      </c>
      <c r="CI4" s="319">
        <v>40423.343654069329</v>
      </c>
      <c r="CJ4" s="319">
        <v>48277.23010084885</v>
      </c>
      <c r="CK4" s="319">
        <v>50779.51102849115</v>
      </c>
      <c r="CL4" s="363">
        <v>51112.515377978409</v>
      </c>
      <c r="CM4" s="319">
        <f t="shared" si="0"/>
        <v>33497.454231311982</v>
      </c>
      <c r="CN4" s="75" t="s">
        <v>167</v>
      </c>
      <c r="CO4" s="365">
        <f>'Cracker Yields'!B15</f>
        <v>0.98795180722891562</v>
      </c>
      <c r="CP4" s="365">
        <f>'Cracker Yields'!C15</f>
        <v>0.65714285714285725</v>
      </c>
      <c r="CQ4" s="365">
        <f>'Cracker Yields'!D15</f>
        <v>0.57894736842105254</v>
      </c>
      <c r="CR4" s="365">
        <f>'Cracker Yields'!E15</f>
        <v>0.62378167641325533</v>
      </c>
      <c r="CS4" s="75"/>
      <c r="CT4" s="75"/>
      <c r="CU4" s="75"/>
      <c r="CV4" s="75"/>
      <c r="CW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row>
    <row r="5" spans="1:178">
      <c r="A5" s="1050"/>
      <c r="B5" s="2" t="s">
        <v>303</v>
      </c>
      <c r="C5" s="362" t="s">
        <v>142</v>
      </c>
      <c r="D5" s="362"/>
      <c r="E5" s="58" t="s">
        <v>348</v>
      </c>
      <c r="F5" s="363" t="s">
        <v>1</v>
      </c>
      <c r="G5" s="641">
        <v>43594.392205285505</v>
      </c>
      <c r="H5" s="641">
        <v>39155.71514383961</v>
      </c>
      <c r="I5" s="641">
        <v>31205.187507289709</v>
      </c>
      <c r="J5" s="641">
        <v>24530.374962746326</v>
      </c>
      <c r="K5" s="641">
        <v>31352.703420095273</v>
      </c>
      <c r="L5" s="641">
        <v>31350.293727642711</v>
      </c>
      <c r="M5" s="641">
        <v>33094.659602829219</v>
      </c>
      <c r="N5" s="641">
        <v>35158.672597905686</v>
      </c>
      <c r="O5" s="641">
        <v>34178.670799784159</v>
      </c>
      <c r="P5" s="641">
        <v>29308.307533372776</v>
      </c>
      <c r="Q5" s="641">
        <v>26022.390122372584</v>
      </c>
      <c r="R5" s="641">
        <v>27712.104898688573</v>
      </c>
      <c r="S5" s="642">
        <v>28827.768659630921</v>
      </c>
      <c r="T5" s="642">
        <v>29094.822387737178</v>
      </c>
      <c r="U5" s="642">
        <v>26886.890867817812</v>
      </c>
      <c r="V5" s="642">
        <v>21844.688734059589</v>
      </c>
      <c r="W5" s="642">
        <v>20767.831879834364</v>
      </c>
      <c r="X5" s="642">
        <v>23223.822731382257</v>
      </c>
      <c r="Y5" s="642">
        <v>25372.805842741865</v>
      </c>
      <c r="Z5" s="642">
        <v>26624.27529594041</v>
      </c>
      <c r="AA5" s="642">
        <v>27599.202635587018</v>
      </c>
      <c r="AB5" s="642">
        <v>25101.411610800744</v>
      </c>
      <c r="AC5" s="642">
        <v>23865.305619197563</v>
      </c>
      <c r="AD5" s="642">
        <v>25533.347040363133</v>
      </c>
      <c r="AE5" s="642">
        <v>28633.233483942542</v>
      </c>
      <c r="AF5" s="642">
        <v>28608.40859486203</v>
      </c>
      <c r="AG5" s="642">
        <v>31423.081014416508</v>
      </c>
      <c r="AH5" s="642">
        <v>33914.908548845437</v>
      </c>
      <c r="AI5" s="642">
        <v>33944.517480330542</v>
      </c>
      <c r="AJ5" s="642">
        <v>29934.513944832401</v>
      </c>
      <c r="AK5" s="642">
        <v>30263.247825943356</v>
      </c>
      <c r="AL5" s="642">
        <v>28162.492473324022</v>
      </c>
      <c r="AM5" s="642">
        <v>26015.045947426181</v>
      </c>
      <c r="AN5" s="642">
        <v>26552.640491329257</v>
      </c>
      <c r="AO5" s="642">
        <v>28979.883784958522</v>
      </c>
      <c r="AP5" s="642">
        <v>32001.883054003727</v>
      </c>
      <c r="AQ5" s="642">
        <v>33715.766689119446</v>
      </c>
      <c r="AR5" s="642">
        <v>37600.895811939226</v>
      </c>
      <c r="AS5" s="642">
        <v>37410.707013780266</v>
      </c>
      <c r="AT5" s="364">
        <v>38006.59911477907</v>
      </c>
      <c r="AU5" s="319">
        <v>35544.33801215329</v>
      </c>
      <c r="AV5" s="319">
        <v>36698.479734370841</v>
      </c>
      <c r="AW5" s="319">
        <v>39387.568778159082</v>
      </c>
      <c r="AX5" s="319">
        <v>45018.079532289179</v>
      </c>
      <c r="AY5" s="319">
        <v>43028.399502793298</v>
      </c>
      <c r="AZ5" s="319">
        <v>44469.722398611812</v>
      </c>
      <c r="BA5" s="319">
        <v>45208.880685986958</v>
      </c>
      <c r="BB5" s="319">
        <v>48900.795197951578</v>
      </c>
      <c r="BC5" s="319">
        <v>49248.348533003395</v>
      </c>
      <c r="BD5" s="319">
        <v>36390.610603906178</v>
      </c>
      <c r="BE5" s="319">
        <v>32298.231716110076</v>
      </c>
      <c r="BF5" s="319">
        <v>32477.922407804301</v>
      </c>
      <c r="BG5" s="319">
        <v>35968.6655190358</v>
      </c>
      <c r="BH5" s="319">
        <v>37420.394962756058</v>
      </c>
      <c r="BI5" s="319">
        <v>39761.393729954776</v>
      </c>
      <c r="BJ5" s="319">
        <v>37690.985872173456</v>
      </c>
      <c r="BK5" s="319">
        <v>32175.430638269136</v>
      </c>
      <c r="BL5" s="319">
        <v>34553.474162011174</v>
      </c>
      <c r="BM5" s="319">
        <v>32251.974103701115</v>
      </c>
      <c r="BN5" s="319">
        <v>34452.579117763591</v>
      </c>
      <c r="BO5" s="319">
        <v>35126.200365523953</v>
      </c>
      <c r="BP5" s="319">
        <v>37523.099022698858</v>
      </c>
      <c r="BQ5" s="319">
        <v>39489.793487778654</v>
      </c>
      <c r="BR5" s="319">
        <v>38263.868255821581</v>
      </c>
      <c r="BS5" s="319">
        <v>33740.757723277464</v>
      </c>
      <c r="BT5" s="319">
        <v>19295.665822820381</v>
      </c>
      <c r="BU5" s="319">
        <v>8802.9007079719777</v>
      </c>
      <c r="BV5" s="319">
        <v>15546.581378150215</v>
      </c>
      <c r="BW5" s="319">
        <v>26682.305328165734</v>
      </c>
      <c r="BX5" s="319">
        <v>29337.828493109868</v>
      </c>
      <c r="BY5" s="319">
        <v>28671.953432839851</v>
      </c>
      <c r="BZ5" s="319">
        <v>28530.002731640419</v>
      </c>
      <c r="CA5" s="319">
        <v>28137.277504507365</v>
      </c>
      <c r="CB5" s="319">
        <v>27512.544130912476</v>
      </c>
      <c r="CC5" s="319">
        <v>31825.411403072623</v>
      </c>
      <c r="CD5" s="319">
        <v>37200.9067942365</v>
      </c>
      <c r="CE5" s="319">
        <v>40976.616123027539</v>
      </c>
      <c r="CF5" s="319">
        <v>42731.091001329856</v>
      </c>
      <c r="CG5" s="319">
        <v>41789.7323782655</v>
      </c>
      <c r="CH5" s="319">
        <v>43571.05361252377</v>
      </c>
      <c r="CI5" s="319">
        <v>47199.02071780515</v>
      </c>
      <c r="CJ5" s="319">
        <v>50700.253673233121</v>
      </c>
      <c r="CK5" s="319">
        <v>47231.266030614519</v>
      </c>
      <c r="CL5" s="363">
        <v>49846.774540043589</v>
      </c>
      <c r="CM5" s="319">
        <f t="shared" si="0"/>
        <v>33324.436321058973</v>
      </c>
      <c r="CN5" s="75" t="s">
        <v>168</v>
      </c>
      <c r="CO5" s="365">
        <f>'Cracker Yields'!B16</f>
        <v>1.2048192771084376E-2</v>
      </c>
      <c r="CP5" s="365">
        <f>'Cracker Yields'!C16</f>
        <v>0.34285714285714275</v>
      </c>
      <c r="CQ5" s="365">
        <f>'Cracker Yields'!D16</f>
        <v>0.42105263157894746</v>
      </c>
      <c r="CR5" s="365">
        <f>'Cracker Yields'!E16</f>
        <v>0.37621832358674467</v>
      </c>
      <c r="CS5" s="75"/>
      <c r="CT5" s="75"/>
      <c r="CU5" s="75"/>
      <c r="CV5" s="75"/>
      <c r="CW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366">
        <v>52.32</v>
      </c>
      <c r="ED5" s="75"/>
      <c r="EE5" s="75"/>
      <c r="EF5" s="75"/>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row>
    <row r="6" spans="1:178">
      <c r="A6" s="1051"/>
      <c r="B6" s="224" t="s">
        <v>305</v>
      </c>
      <c r="C6" s="367" t="s">
        <v>306</v>
      </c>
      <c r="D6" s="367"/>
      <c r="E6" s="236" t="s">
        <v>348</v>
      </c>
      <c r="F6" s="368" t="s">
        <v>307</v>
      </c>
      <c r="G6" s="368">
        <v>690</v>
      </c>
      <c r="H6" s="368">
        <v>680</v>
      </c>
      <c r="I6" s="368">
        <v>640</v>
      </c>
      <c r="J6" s="368">
        <v>620</v>
      </c>
      <c r="K6" s="368">
        <v>595</v>
      </c>
      <c r="L6" s="368">
        <v>614</v>
      </c>
      <c r="M6" s="368">
        <v>602</v>
      </c>
      <c r="N6" s="368">
        <v>591</v>
      </c>
      <c r="O6" s="368">
        <v>582</v>
      </c>
      <c r="P6" s="368">
        <v>564</v>
      </c>
      <c r="Q6" s="368">
        <v>577</v>
      </c>
      <c r="R6" s="368">
        <v>544</v>
      </c>
      <c r="S6" s="319">
        <v>549</v>
      </c>
      <c r="T6" s="369">
        <v>562</v>
      </c>
      <c r="U6" s="369">
        <v>575</v>
      </c>
      <c r="V6" s="319">
        <v>588</v>
      </c>
      <c r="W6" s="369">
        <v>600</v>
      </c>
      <c r="X6" s="369">
        <v>614</v>
      </c>
      <c r="Y6" s="369">
        <v>628</v>
      </c>
      <c r="Z6" s="369">
        <v>638</v>
      </c>
      <c r="AA6" s="369">
        <v>651</v>
      </c>
      <c r="AB6" s="369">
        <v>664</v>
      </c>
      <c r="AC6" s="369">
        <v>677</v>
      </c>
      <c r="AD6" s="319">
        <v>689</v>
      </c>
      <c r="AE6" s="369">
        <v>602</v>
      </c>
      <c r="AF6" s="369">
        <v>615</v>
      </c>
      <c r="AG6" s="369">
        <v>628</v>
      </c>
      <c r="AH6" s="319">
        <v>640</v>
      </c>
      <c r="AI6" s="369">
        <v>654</v>
      </c>
      <c r="AJ6" s="369">
        <v>644</v>
      </c>
      <c r="AK6" s="369">
        <v>679</v>
      </c>
      <c r="AL6" s="369">
        <v>691</v>
      </c>
      <c r="AM6" s="369">
        <v>704</v>
      </c>
      <c r="AN6" s="369">
        <v>717</v>
      </c>
      <c r="AO6" s="369">
        <v>629.54360858123698</v>
      </c>
      <c r="AP6" s="369">
        <v>642.28255936563301</v>
      </c>
      <c r="AQ6" s="369">
        <v>655.02151015003005</v>
      </c>
      <c r="AR6" s="369">
        <v>667.76046093442596</v>
      </c>
      <c r="AS6" s="369">
        <v>680.49941171882301</v>
      </c>
      <c r="AT6" s="369">
        <v>693.23836250321904</v>
      </c>
      <c r="AU6" s="369">
        <v>725</v>
      </c>
      <c r="AV6" s="369">
        <v>731</v>
      </c>
      <c r="AW6" s="369">
        <v>683.35192411641094</v>
      </c>
      <c r="AX6" s="369">
        <v>727.45879248730159</v>
      </c>
      <c r="AY6" s="369">
        <v>790.46535767833188</v>
      </c>
      <c r="AZ6" s="369">
        <v>835.82228336641663</v>
      </c>
      <c r="BA6" s="369">
        <v>855.64779771974872</v>
      </c>
      <c r="BB6" s="369">
        <v>831.01152604586082</v>
      </c>
      <c r="BC6" s="369">
        <v>894.32305357357711</v>
      </c>
      <c r="BD6" s="369">
        <v>848.00352710543211</v>
      </c>
      <c r="BE6" s="369">
        <v>762.53950609685091</v>
      </c>
      <c r="BF6" s="369">
        <v>747.97322905859232</v>
      </c>
      <c r="BG6" s="369">
        <v>816.24945468112071</v>
      </c>
      <c r="BH6" s="369">
        <v>713.84568622483982</v>
      </c>
      <c r="BI6" s="369">
        <v>547.77</v>
      </c>
      <c r="BJ6" s="369">
        <v>505.25</v>
      </c>
      <c r="BK6" s="369">
        <v>522.21</v>
      </c>
      <c r="BL6" s="369">
        <v>559.08000000000004</v>
      </c>
      <c r="BM6" s="369">
        <v>496.47</v>
      </c>
      <c r="BN6" s="369">
        <v>463.19</v>
      </c>
      <c r="BO6" s="369">
        <v>620.35</v>
      </c>
      <c r="BP6" s="369">
        <v>540.62</v>
      </c>
      <c r="BQ6" s="369">
        <v>605.28</v>
      </c>
      <c r="BR6" s="369">
        <v>485.79</v>
      </c>
      <c r="BS6" s="369">
        <v>478.65</v>
      </c>
      <c r="BT6" s="369">
        <v>313.06</v>
      </c>
      <c r="BU6" s="369">
        <v>546.95000000000005</v>
      </c>
      <c r="BV6" s="369">
        <v>498.46</v>
      </c>
      <c r="BW6" s="369">
        <v>285.66000000000003</v>
      </c>
      <c r="BX6" s="369">
        <v>264.85000000000002</v>
      </c>
      <c r="BY6" s="369">
        <v>334.58</v>
      </c>
      <c r="BZ6" s="369">
        <v>410.09</v>
      </c>
      <c r="CA6" s="369">
        <v>471.71</v>
      </c>
      <c r="CB6" s="369">
        <v>532.29999999999995</v>
      </c>
      <c r="CC6" s="369">
        <v>588.39</v>
      </c>
      <c r="CD6" s="369">
        <v>675.69</v>
      </c>
      <c r="CE6" s="369">
        <v>872.05</v>
      </c>
      <c r="CF6" s="369">
        <v>766.06</v>
      </c>
      <c r="CG6" s="369">
        <v>565.04999999999995</v>
      </c>
      <c r="CH6" s="369">
        <v>567.25</v>
      </c>
      <c r="CI6" s="369">
        <v>619.33000000000004</v>
      </c>
      <c r="CJ6" s="369">
        <v>708.17</v>
      </c>
      <c r="CK6" s="369">
        <v>868.98</v>
      </c>
      <c r="CL6" s="370">
        <v>938.53</v>
      </c>
      <c r="CM6" s="319">
        <f t="shared" si="0"/>
        <v>629.65307204056967</v>
      </c>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58"/>
      <c r="FB6" s="58"/>
      <c r="FC6" s="58"/>
      <c r="FD6" s="58"/>
      <c r="FE6" s="58"/>
      <c r="FF6" s="58"/>
      <c r="FG6" s="58"/>
      <c r="FH6" s="58"/>
      <c r="FI6" s="58"/>
      <c r="FJ6" s="58"/>
      <c r="FK6" s="58"/>
      <c r="FL6" s="58"/>
      <c r="FM6" s="58"/>
      <c r="FN6" s="58"/>
      <c r="FO6" s="58"/>
      <c r="FP6" s="58"/>
      <c r="FQ6" s="58"/>
      <c r="FR6" s="58"/>
      <c r="FS6" s="58"/>
      <c r="FT6" s="58"/>
      <c r="FU6" s="58"/>
      <c r="FV6" s="58"/>
    </row>
    <row r="7" spans="1:178">
      <c r="A7" s="1052" t="s">
        <v>308</v>
      </c>
      <c r="B7" s="286" t="s">
        <v>305</v>
      </c>
      <c r="C7" s="356" t="s">
        <v>142</v>
      </c>
      <c r="D7" s="356"/>
      <c r="E7" s="371" t="s">
        <v>348</v>
      </c>
      <c r="F7" s="372" t="s">
        <v>137</v>
      </c>
      <c r="G7" s="373">
        <v>56500</v>
      </c>
      <c r="H7" s="373">
        <v>56300</v>
      </c>
      <c r="I7" s="373">
        <v>56100</v>
      </c>
      <c r="J7" s="373">
        <v>55900</v>
      </c>
      <c r="K7" s="373">
        <v>55800</v>
      </c>
      <c r="L7" s="373">
        <v>55600</v>
      </c>
      <c r="M7" s="373">
        <v>55200</v>
      </c>
      <c r="N7" s="373">
        <v>57300</v>
      </c>
      <c r="O7" s="373">
        <v>54100</v>
      </c>
      <c r="P7" s="373">
        <v>55200</v>
      </c>
      <c r="Q7" s="373">
        <v>52300</v>
      </c>
      <c r="R7" s="373">
        <v>45600</v>
      </c>
      <c r="S7" s="373">
        <v>47020</v>
      </c>
      <c r="T7" s="373">
        <v>45750</v>
      </c>
      <c r="U7" s="373">
        <v>46150</v>
      </c>
      <c r="V7" s="373">
        <v>45650</v>
      </c>
      <c r="W7" s="373">
        <v>36940</v>
      </c>
      <c r="X7" s="373">
        <v>36950</v>
      </c>
      <c r="Y7" s="373">
        <v>37390</v>
      </c>
      <c r="Z7" s="373">
        <v>37950</v>
      </c>
      <c r="AA7" s="373">
        <v>38680</v>
      </c>
      <c r="AB7" s="373">
        <v>39250</v>
      </c>
      <c r="AC7" s="373">
        <v>39610</v>
      </c>
      <c r="AD7" s="373">
        <v>39920</v>
      </c>
      <c r="AE7" s="373">
        <v>39990</v>
      </c>
      <c r="AF7" s="373">
        <v>40250</v>
      </c>
      <c r="AG7" s="373">
        <v>41270</v>
      </c>
      <c r="AH7" s="373">
        <v>42350</v>
      </c>
      <c r="AI7" s="373">
        <v>57680</v>
      </c>
      <c r="AJ7" s="373">
        <v>60070</v>
      </c>
      <c r="AK7" s="373">
        <v>58600</v>
      </c>
      <c r="AL7" s="373">
        <v>56250</v>
      </c>
      <c r="AM7" s="373">
        <v>54760</v>
      </c>
      <c r="AN7" s="373">
        <v>53400</v>
      </c>
      <c r="AO7" s="373">
        <v>52470</v>
      </c>
      <c r="AP7" s="373">
        <v>51630</v>
      </c>
      <c r="AQ7" s="373">
        <v>52140</v>
      </c>
      <c r="AR7" s="373">
        <v>52030</v>
      </c>
      <c r="AS7" s="373">
        <v>51990</v>
      </c>
      <c r="AT7" s="373">
        <v>57152</v>
      </c>
      <c r="AU7" s="373">
        <v>58526</v>
      </c>
      <c r="AV7" s="373">
        <v>58277</v>
      </c>
      <c r="AW7" s="373">
        <v>55909</v>
      </c>
      <c r="AX7" s="373">
        <v>55303</v>
      </c>
      <c r="AY7" s="373">
        <v>58424</v>
      </c>
      <c r="AZ7" s="373">
        <v>56706</v>
      </c>
      <c r="BA7" s="373">
        <v>57565</v>
      </c>
      <c r="BB7" s="373">
        <v>61481</v>
      </c>
      <c r="BC7" s="373">
        <v>61877</v>
      </c>
      <c r="BD7" s="373">
        <v>61367</v>
      </c>
      <c r="BE7" s="373">
        <v>49658</v>
      </c>
      <c r="BF7" s="373">
        <v>41296</v>
      </c>
      <c r="BG7" s="373">
        <v>39412</v>
      </c>
      <c r="BH7" s="373">
        <v>42670</v>
      </c>
      <c r="BI7" s="373">
        <v>42621</v>
      </c>
      <c r="BJ7" s="373">
        <v>43930</v>
      </c>
      <c r="BK7" s="373">
        <v>44300</v>
      </c>
      <c r="BL7" s="373">
        <v>44000</v>
      </c>
      <c r="BM7" s="373">
        <v>46900</v>
      </c>
      <c r="BN7" s="373">
        <v>48100</v>
      </c>
      <c r="BO7" s="373">
        <v>52100</v>
      </c>
      <c r="BP7" s="373">
        <v>48600</v>
      </c>
      <c r="BQ7" s="373">
        <v>47000</v>
      </c>
      <c r="BR7" s="373">
        <v>52400</v>
      </c>
      <c r="BS7" s="373">
        <v>52900</v>
      </c>
      <c r="BT7" s="373">
        <v>48400</v>
      </c>
      <c r="BU7" s="373">
        <v>37400</v>
      </c>
      <c r="BV7" s="373">
        <v>24900</v>
      </c>
      <c r="BW7" s="373">
        <v>30300</v>
      </c>
      <c r="BX7" s="373">
        <v>33900</v>
      </c>
      <c r="BY7" s="373">
        <v>33100</v>
      </c>
      <c r="BZ7" s="373">
        <v>34400</v>
      </c>
      <c r="CA7" s="373">
        <v>32600</v>
      </c>
      <c r="CB7" s="373">
        <v>32500</v>
      </c>
      <c r="CC7" s="373">
        <v>40800</v>
      </c>
      <c r="CD7" s="373">
        <v>47900</v>
      </c>
      <c r="CE7" s="373">
        <v>48900</v>
      </c>
      <c r="CF7" s="373">
        <v>57200</v>
      </c>
      <c r="CG7" s="373">
        <v>62200</v>
      </c>
      <c r="CH7" s="373">
        <v>70100</v>
      </c>
      <c r="CI7" s="373">
        <v>75100</v>
      </c>
      <c r="CJ7" s="373">
        <v>71430</v>
      </c>
      <c r="CK7" s="373">
        <v>78990</v>
      </c>
      <c r="CL7" s="373">
        <v>72940</v>
      </c>
      <c r="CM7" s="373">
        <f t="shared" si="0"/>
        <v>49804.452380952382</v>
      </c>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58"/>
      <c r="EO7" s="58"/>
      <c r="EP7" s="58"/>
      <c r="EQ7" s="58"/>
      <c r="ER7" s="58"/>
      <c r="ES7" s="58"/>
      <c r="ET7" s="58"/>
      <c r="EU7" s="58"/>
      <c r="EV7" s="58"/>
      <c r="EW7" s="58"/>
      <c r="EX7" s="58"/>
      <c r="EY7" s="58"/>
      <c r="EZ7" s="58"/>
      <c r="FA7" s="58"/>
      <c r="FB7" s="58"/>
      <c r="FC7" s="58"/>
      <c r="FD7" s="58"/>
      <c r="FE7" s="58"/>
      <c r="FF7" s="58"/>
      <c r="FG7" s="58"/>
      <c r="FH7" s="58"/>
      <c r="FI7" s="58"/>
      <c r="FJ7" s="58"/>
      <c r="FK7" s="58"/>
      <c r="FL7" s="58"/>
      <c r="FM7" s="58"/>
      <c r="FN7" s="58"/>
      <c r="FO7" s="58"/>
      <c r="FP7" s="58"/>
      <c r="FQ7" s="58"/>
      <c r="FR7" s="58"/>
      <c r="FS7" s="58"/>
      <c r="FT7" s="58"/>
      <c r="FU7" s="58"/>
      <c r="FV7" s="58"/>
    </row>
    <row r="8" spans="1:178">
      <c r="A8" s="1053"/>
      <c r="B8" s="2" t="s">
        <v>305</v>
      </c>
      <c r="C8" s="362" t="s">
        <v>142</v>
      </c>
      <c r="D8" s="362"/>
      <c r="E8" s="235" t="s">
        <v>348</v>
      </c>
      <c r="F8" s="380" t="s">
        <v>403</v>
      </c>
      <c r="G8" s="376">
        <v>78900</v>
      </c>
      <c r="H8" s="376">
        <v>75500</v>
      </c>
      <c r="I8" s="376">
        <v>76300</v>
      </c>
      <c r="J8" s="376">
        <v>77300</v>
      </c>
      <c r="K8" s="376">
        <v>74500</v>
      </c>
      <c r="L8" s="376">
        <v>78800</v>
      </c>
      <c r="M8" s="376">
        <v>75500</v>
      </c>
      <c r="N8" s="376">
        <v>77200</v>
      </c>
      <c r="O8" s="376">
        <v>71900</v>
      </c>
      <c r="P8" s="376">
        <v>74600</v>
      </c>
      <c r="Q8" s="376">
        <v>72500</v>
      </c>
      <c r="R8" s="376">
        <v>70300</v>
      </c>
      <c r="S8" s="376">
        <v>69049</v>
      </c>
      <c r="T8" s="376">
        <v>68803</v>
      </c>
      <c r="U8" s="376">
        <v>60570</v>
      </c>
      <c r="V8" s="376">
        <v>69050</v>
      </c>
      <c r="W8" s="376">
        <v>64550</v>
      </c>
      <c r="X8" s="376">
        <v>64300</v>
      </c>
      <c r="Y8" s="376">
        <v>69051</v>
      </c>
      <c r="Z8" s="376">
        <v>64800</v>
      </c>
      <c r="AA8" s="376">
        <v>67700</v>
      </c>
      <c r="AB8" s="376">
        <v>69052</v>
      </c>
      <c r="AC8" s="376">
        <v>69405</v>
      </c>
      <c r="AD8" s="376">
        <v>63700</v>
      </c>
      <c r="AE8" s="376">
        <v>69053</v>
      </c>
      <c r="AF8" s="376">
        <v>62939</v>
      </c>
      <c r="AG8" s="376">
        <v>65350</v>
      </c>
      <c r="AH8" s="376">
        <v>69054</v>
      </c>
      <c r="AI8" s="376">
        <v>63700</v>
      </c>
      <c r="AJ8" s="376">
        <v>61750</v>
      </c>
      <c r="AK8" s="376">
        <v>69055</v>
      </c>
      <c r="AL8" s="376">
        <v>68800</v>
      </c>
      <c r="AM8" s="376">
        <v>63500</v>
      </c>
      <c r="AN8" s="376">
        <v>69056</v>
      </c>
      <c r="AO8" s="376">
        <v>64500</v>
      </c>
      <c r="AP8" s="376">
        <v>64580</v>
      </c>
      <c r="AQ8" s="376">
        <v>69057</v>
      </c>
      <c r="AR8" s="376">
        <v>62925</v>
      </c>
      <c r="AS8" s="376">
        <v>71158</v>
      </c>
      <c r="AT8" s="376">
        <v>69058</v>
      </c>
      <c r="AU8" s="376">
        <v>79391</v>
      </c>
      <c r="AV8" s="376">
        <v>87624</v>
      </c>
      <c r="AW8" s="376">
        <v>91678</v>
      </c>
      <c r="AX8" s="376">
        <v>90255</v>
      </c>
      <c r="AY8" s="376">
        <v>110428</v>
      </c>
      <c r="AZ8" s="376">
        <v>113142</v>
      </c>
      <c r="BA8" s="376">
        <v>109389</v>
      </c>
      <c r="BB8" s="376">
        <v>117818</v>
      </c>
      <c r="BC8" s="376">
        <v>104990</v>
      </c>
      <c r="BD8" s="376">
        <v>79612</v>
      </c>
      <c r="BE8" s="376">
        <v>76089</v>
      </c>
      <c r="BF8" s="376">
        <v>79660</v>
      </c>
      <c r="BG8" s="376">
        <v>80367</v>
      </c>
      <c r="BH8" s="376">
        <v>75404</v>
      </c>
      <c r="BI8" s="376">
        <v>71634</v>
      </c>
      <c r="BJ8" s="376">
        <v>63615</v>
      </c>
      <c r="BK8" s="376">
        <v>66900</v>
      </c>
      <c r="BL8" s="376">
        <v>74300</v>
      </c>
      <c r="BM8" s="376">
        <v>76800</v>
      </c>
      <c r="BN8" s="376">
        <v>85000</v>
      </c>
      <c r="BO8" s="376">
        <v>87600</v>
      </c>
      <c r="BP8" s="376">
        <v>81700</v>
      </c>
      <c r="BQ8" s="376">
        <v>62200</v>
      </c>
      <c r="BR8" s="376">
        <v>63400</v>
      </c>
      <c r="BS8" s="376">
        <v>65100</v>
      </c>
      <c r="BT8" s="376">
        <v>56000</v>
      </c>
      <c r="BU8" s="376">
        <v>50100</v>
      </c>
      <c r="BV8" s="376">
        <v>28400</v>
      </c>
      <c r="BW8" s="376">
        <v>21600</v>
      </c>
      <c r="BX8" s="376">
        <v>22700</v>
      </c>
      <c r="BY8" s="376">
        <v>28600</v>
      </c>
      <c r="BZ8" s="376">
        <v>40200</v>
      </c>
      <c r="CA8" s="376">
        <v>50700</v>
      </c>
      <c r="CB8" s="376">
        <v>66900</v>
      </c>
      <c r="CC8" s="376">
        <v>94800</v>
      </c>
      <c r="CD8" s="376">
        <v>86100</v>
      </c>
      <c r="CE8" s="376">
        <v>58900</v>
      </c>
      <c r="CF8" s="376">
        <v>57400</v>
      </c>
      <c r="CG8" s="376">
        <v>80900</v>
      </c>
      <c r="CH8" s="376">
        <v>72100</v>
      </c>
      <c r="CI8" s="376">
        <v>73600</v>
      </c>
      <c r="CJ8" s="376">
        <v>88040</v>
      </c>
      <c r="CK8" s="376">
        <v>107190</v>
      </c>
      <c r="CL8" s="376">
        <v>116560</v>
      </c>
      <c r="CM8" s="376">
        <f t="shared" si="0"/>
        <v>72163.702380952382</v>
      </c>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row>
    <row r="9" spans="1:178">
      <c r="A9" s="1053"/>
      <c r="B9" s="2" t="s">
        <v>305</v>
      </c>
      <c r="C9" s="362" t="s">
        <v>142</v>
      </c>
      <c r="D9" s="362"/>
      <c r="E9" s="235" t="s">
        <v>348</v>
      </c>
      <c r="F9" s="380" t="s">
        <v>136</v>
      </c>
      <c r="G9" s="376">
        <v>24398.880000000001</v>
      </c>
      <c r="H9" s="376">
        <v>25035.784242424201</v>
      </c>
      <c r="I9" s="376">
        <v>25672.688484848499</v>
      </c>
      <c r="J9" s="376">
        <v>26309.592727272699</v>
      </c>
      <c r="K9" s="376">
        <v>26946.496969697</v>
      </c>
      <c r="L9" s="376">
        <v>27583.4012121212</v>
      </c>
      <c r="M9" s="376">
        <v>28220.305454545502</v>
      </c>
      <c r="N9" s="376">
        <v>28857.209696969701</v>
      </c>
      <c r="O9" s="376">
        <v>29494.113939393901</v>
      </c>
      <c r="P9" s="376">
        <v>30131.018181818199</v>
      </c>
      <c r="Q9" s="376">
        <v>30767.922424242399</v>
      </c>
      <c r="R9" s="376">
        <v>31404.8266666667</v>
      </c>
      <c r="S9" s="376">
        <v>31722.6</v>
      </c>
      <c r="T9" s="376">
        <v>32547.5</v>
      </c>
      <c r="U9" s="376">
        <v>34500</v>
      </c>
      <c r="V9" s="376">
        <v>33372.400000000001</v>
      </c>
      <c r="W9" s="376">
        <v>34197.300000000003</v>
      </c>
      <c r="X9" s="376">
        <v>35022.199999999997</v>
      </c>
      <c r="Y9" s="376">
        <v>35847.1</v>
      </c>
      <c r="Z9" s="376">
        <v>37700</v>
      </c>
      <c r="AA9" s="376">
        <v>36672</v>
      </c>
      <c r="AB9" s="376">
        <v>37496.9</v>
      </c>
      <c r="AC9" s="376">
        <v>38321.800000000003</v>
      </c>
      <c r="AD9" s="376">
        <v>39146.699999999997</v>
      </c>
      <c r="AE9" s="376">
        <v>35300</v>
      </c>
      <c r="AF9" s="376">
        <v>39971.599999999999</v>
      </c>
      <c r="AG9" s="376">
        <v>40796.5</v>
      </c>
      <c r="AH9" s="376">
        <v>41621.4</v>
      </c>
      <c r="AI9" s="376">
        <v>42446.3</v>
      </c>
      <c r="AJ9" s="376">
        <v>38276</v>
      </c>
      <c r="AK9" s="376">
        <v>40271.199999999997</v>
      </c>
      <c r="AL9" s="376">
        <v>40096.1</v>
      </c>
      <c r="AM9" s="376">
        <v>41921</v>
      </c>
      <c r="AN9" s="376">
        <v>40745.9</v>
      </c>
      <c r="AO9" s="376">
        <v>40250</v>
      </c>
      <c r="AP9" s="376">
        <v>41570.800000000003</v>
      </c>
      <c r="AQ9" s="376">
        <v>39395.699999999997</v>
      </c>
      <c r="AR9" s="376">
        <v>38220.6</v>
      </c>
      <c r="AS9" s="376">
        <v>39045.5</v>
      </c>
      <c r="AT9" s="376">
        <v>40278</v>
      </c>
      <c r="AU9" s="376">
        <v>40825</v>
      </c>
      <c r="AV9" s="376">
        <v>39651</v>
      </c>
      <c r="AW9" s="376">
        <v>40745</v>
      </c>
      <c r="AX9" s="376">
        <v>43210</v>
      </c>
      <c r="AY9" s="376">
        <v>49220</v>
      </c>
      <c r="AZ9" s="376">
        <v>47166</v>
      </c>
      <c r="BA9" s="376">
        <v>48765</v>
      </c>
      <c r="BB9" s="376">
        <v>49461</v>
      </c>
      <c r="BC9" s="376">
        <v>53775</v>
      </c>
      <c r="BD9" s="376">
        <v>54370</v>
      </c>
      <c r="BE9" s="376">
        <v>41640</v>
      </c>
      <c r="BF9" s="376">
        <v>37117</v>
      </c>
      <c r="BG9" s="376">
        <v>37203</v>
      </c>
      <c r="BH9" s="376">
        <v>40633</v>
      </c>
      <c r="BI9" s="376">
        <v>41946</v>
      </c>
      <c r="BJ9" s="376">
        <v>44260</v>
      </c>
      <c r="BK9" s="376">
        <v>46500</v>
      </c>
      <c r="BL9" s="376">
        <v>40900</v>
      </c>
      <c r="BM9" s="376">
        <v>43100</v>
      </c>
      <c r="BN9" s="376">
        <v>41200</v>
      </c>
      <c r="BO9" s="376">
        <v>43200</v>
      </c>
      <c r="BP9" s="376">
        <v>43200</v>
      </c>
      <c r="BQ9" s="376">
        <v>45400</v>
      </c>
      <c r="BR9" s="376">
        <v>48300</v>
      </c>
      <c r="BS9" s="376">
        <v>47500</v>
      </c>
      <c r="BT9" s="376">
        <v>43200</v>
      </c>
      <c r="BU9" s="376">
        <v>30300</v>
      </c>
      <c r="BV9" s="376">
        <v>20000</v>
      </c>
      <c r="BW9" s="376">
        <v>25600</v>
      </c>
      <c r="BX9" s="376">
        <v>36800</v>
      </c>
      <c r="BY9" s="376">
        <v>39400</v>
      </c>
      <c r="BZ9" s="376">
        <v>39300</v>
      </c>
      <c r="CA9" s="376">
        <v>38800</v>
      </c>
      <c r="CB9" s="376">
        <v>38500</v>
      </c>
      <c r="CC9" s="376">
        <v>34300</v>
      </c>
      <c r="CD9" s="376">
        <v>37200</v>
      </c>
      <c r="CE9" s="376">
        <v>42600</v>
      </c>
      <c r="CF9" s="376">
        <v>46400</v>
      </c>
      <c r="CG9" s="376">
        <v>47800</v>
      </c>
      <c r="CH9" s="376">
        <v>47000</v>
      </c>
      <c r="CI9" s="376">
        <v>49100</v>
      </c>
      <c r="CJ9" s="376">
        <v>52210</v>
      </c>
      <c r="CK9" s="376">
        <v>56230</v>
      </c>
      <c r="CL9" s="376">
        <v>53120</v>
      </c>
      <c r="CM9" s="376">
        <f t="shared" si="0"/>
        <v>39151.45642857143</v>
      </c>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row>
    <row r="10" spans="1:178">
      <c r="A10" s="1053"/>
      <c r="B10" s="2" t="s">
        <v>305</v>
      </c>
      <c r="C10" s="362" t="s">
        <v>142</v>
      </c>
      <c r="D10" s="362"/>
      <c r="E10" s="235" t="s">
        <v>348</v>
      </c>
      <c r="F10" s="380" t="s">
        <v>135</v>
      </c>
      <c r="G10" s="376">
        <v>37759.000000000102</v>
      </c>
      <c r="H10" s="376">
        <v>36931.1292929294</v>
      </c>
      <c r="I10" s="376">
        <v>36103.258585858697</v>
      </c>
      <c r="J10" s="376">
        <v>35275.3878787879</v>
      </c>
      <c r="K10" s="376">
        <v>34447.517171717198</v>
      </c>
      <c r="L10" s="376">
        <v>33619.646464646503</v>
      </c>
      <c r="M10" s="376">
        <v>32791.775757575801</v>
      </c>
      <c r="N10" s="376">
        <v>31963.905050505098</v>
      </c>
      <c r="O10" s="376">
        <v>31136.034343434399</v>
      </c>
      <c r="P10" s="376">
        <v>30308.163636363701</v>
      </c>
      <c r="Q10" s="376">
        <v>29480.292929292998</v>
      </c>
      <c r="R10" s="376">
        <v>28652.422222222202</v>
      </c>
      <c r="S10" s="376">
        <v>31782.666666666701</v>
      </c>
      <c r="T10" s="376">
        <v>31356.666666666701</v>
      </c>
      <c r="U10" s="376">
        <v>22930</v>
      </c>
      <c r="V10" s="376">
        <v>22278</v>
      </c>
      <c r="W10" s="376">
        <v>20505</v>
      </c>
      <c r="X10" s="376">
        <v>21079</v>
      </c>
      <c r="Y10" s="376">
        <v>22653</v>
      </c>
      <c r="Z10" s="376">
        <v>22279</v>
      </c>
      <c r="AA10" s="376">
        <v>22327</v>
      </c>
      <c r="AB10" s="376">
        <v>23801</v>
      </c>
      <c r="AC10" s="376">
        <v>22740</v>
      </c>
      <c r="AD10" s="376">
        <v>22280</v>
      </c>
      <c r="AE10" s="376">
        <v>21799</v>
      </c>
      <c r="AF10" s="376">
        <v>21523</v>
      </c>
      <c r="AG10" s="376">
        <v>23055</v>
      </c>
      <c r="AH10" s="376">
        <v>22281</v>
      </c>
      <c r="AI10" s="376">
        <v>21450</v>
      </c>
      <c r="AJ10" s="376">
        <v>22640</v>
      </c>
      <c r="AK10" s="376">
        <v>25818.666666666701</v>
      </c>
      <c r="AL10" s="376">
        <v>22282</v>
      </c>
      <c r="AM10" s="376">
        <v>25392.666666666701</v>
      </c>
      <c r="AN10" s="376">
        <v>24966.666666666701</v>
      </c>
      <c r="AO10" s="376">
        <v>24540.666666666701</v>
      </c>
      <c r="AP10" s="376">
        <v>22283</v>
      </c>
      <c r="AQ10" s="376">
        <v>24114.666666666701</v>
      </c>
      <c r="AR10" s="376">
        <v>23688.666666666701</v>
      </c>
      <c r="AS10" s="376">
        <v>23262.666666666701</v>
      </c>
      <c r="AT10" s="376">
        <v>22284</v>
      </c>
      <c r="AU10" s="376">
        <v>23133</v>
      </c>
      <c r="AV10" s="376">
        <v>21818</v>
      </c>
      <c r="AW10" s="376">
        <v>22281</v>
      </c>
      <c r="AX10" s="376">
        <v>24177</v>
      </c>
      <c r="AY10" s="376">
        <v>28071</v>
      </c>
      <c r="AZ10" s="376">
        <v>28045</v>
      </c>
      <c r="BA10" s="376">
        <v>29524</v>
      </c>
      <c r="BB10" s="376">
        <v>28439</v>
      </c>
      <c r="BC10" s="376">
        <v>30668</v>
      </c>
      <c r="BD10" s="376">
        <v>33226</v>
      </c>
      <c r="BE10" s="376">
        <v>28437</v>
      </c>
      <c r="BF10" s="376">
        <v>23915</v>
      </c>
      <c r="BG10" s="376">
        <v>25268</v>
      </c>
      <c r="BH10" s="376">
        <v>28957</v>
      </c>
      <c r="BI10" s="376">
        <v>29150</v>
      </c>
      <c r="BJ10" s="376">
        <v>30044</v>
      </c>
      <c r="BK10" s="376">
        <v>28400</v>
      </c>
      <c r="BL10" s="376">
        <v>25400</v>
      </c>
      <c r="BM10" s="376">
        <v>26700</v>
      </c>
      <c r="BN10" s="376">
        <v>22400</v>
      </c>
      <c r="BO10" s="376">
        <v>24500</v>
      </c>
      <c r="BP10" s="376">
        <v>21200</v>
      </c>
      <c r="BQ10" s="376">
        <v>18600</v>
      </c>
      <c r="BR10" s="376">
        <v>21400</v>
      </c>
      <c r="BS10" s="376">
        <v>22400</v>
      </c>
      <c r="BT10" s="376">
        <v>23100</v>
      </c>
      <c r="BU10" s="376">
        <v>14400</v>
      </c>
      <c r="BV10" s="376">
        <v>10800</v>
      </c>
      <c r="BW10" s="376">
        <v>14100</v>
      </c>
      <c r="BX10" s="376">
        <v>18300</v>
      </c>
      <c r="BY10" s="376">
        <v>20100</v>
      </c>
      <c r="BZ10" s="376">
        <v>21300</v>
      </c>
      <c r="CA10" s="376">
        <v>20000</v>
      </c>
      <c r="CB10" s="376">
        <v>20600</v>
      </c>
      <c r="CC10" s="376">
        <v>21500</v>
      </c>
      <c r="CD10" s="376">
        <v>23400</v>
      </c>
      <c r="CE10" s="376">
        <v>24700</v>
      </c>
      <c r="CF10" s="376">
        <v>27200</v>
      </c>
      <c r="CG10" s="376">
        <v>28300</v>
      </c>
      <c r="CH10" s="376">
        <v>29000</v>
      </c>
      <c r="CI10" s="376">
        <v>29700</v>
      </c>
      <c r="CJ10" s="376">
        <v>31350</v>
      </c>
      <c r="CK10" s="376">
        <v>30470</v>
      </c>
      <c r="CL10" s="376">
        <v>31250</v>
      </c>
      <c r="CM10" s="376">
        <f t="shared" si="0"/>
        <v>25495.053968253982</v>
      </c>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row>
    <row r="11" spans="1:178">
      <c r="A11" s="1054"/>
      <c r="B11" s="224" t="s">
        <v>305</v>
      </c>
      <c r="C11" s="367" t="s">
        <v>142</v>
      </c>
      <c r="D11" s="367"/>
      <c r="E11" s="336" t="s">
        <v>348</v>
      </c>
      <c r="F11" s="386" t="s">
        <v>134</v>
      </c>
      <c r="G11" s="387">
        <v>32175.4666666667</v>
      </c>
      <c r="H11" s="387">
        <v>32270.216161616201</v>
      </c>
      <c r="I11" s="387">
        <v>32364.965656565699</v>
      </c>
      <c r="J11" s="387">
        <v>32459.7151515152</v>
      </c>
      <c r="K11" s="387">
        <v>32554.464646464701</v>
      </c>
      <c r="L11" s="387">
        <v>32649.214141414199</v>
      </c>
      <c r="M11" s="387">
        <v>32743.9636363637</v>
      </c>
      <c r="N11" s="387">
        <v>32838.713131313198</v>
      </c>
      <c r="O11" s="387">
        <v>32933.462626262699</v>
      </c>
      <c r="P11" s="387">
        <v>33028.212121212098</v>
      </c>
      <c r="Q11" s="387">
        <v>33122.9616161616</v>
      </c>
      <c r="R11" s="387">
        <v>33217.711111111101</v>
      </c>
      <c r="S11" s="387">
        <v>33015.666666666701</v>
      </c>
      <c r="T11" s="387">
        <v>33126.166666666701</v>
      </c>
      <c r="U11" s="387">
        <v>33236.666666666701</v>
      </c>
      <c r="V11" s="387">
        <v>35084</v>
      </c>
      <c r="W11" s="387">
        <v>33347.166666666701</v>
      </c>
      <c r="X11" s="387">
        <v>33457.666666666701</v>
      </c>
      <c r="Y11" s="387">
        <v>33568.166666666701</v>
      </c>
      <c r="Z11" s="387">
        <v>35085</v>
      </c>
      <c r="AA11" s="387">
        <v>33678.666666666701</v>
      </c>
      <c r="AB11" s="387">
        <v>33789.166666666701</v>
      </c>
      <c r="AC11" s="387">
        <v>33899.666666666701</v>
      </c>
      <c r="AD11" s="387">
        <v>35086</v>
      </c>
      <c r="AE11" s="387">
        <v>34010.166666666701</v>
      </c>
      <c r="AF11" s="387">
        <v>34120.666666666701</v>
      </c>
      <c r="AG11" s="387">
        <v>34231.166666666701</v>
      </c>
      <c r="AH11" s="387">
        <v>35087</v>
      </c>
      <c r="AI11" s="387">
        <v>34341.666666666701</v>
      </c>
      <c r="AJ11" s="387">
        <v>34452.166666666701</v>
      </c>
      <c r="AK11" s="387">
        <v>34562.666666666701</v>
      </c>
      <c r="AL11" s="387">
        <v>35088</v>
      </c>
      <c r="AM11" s="387">
        <v>34673.166666666701</v>
      </c>
      <c r="AN11" s="387">
        <v>34783.666666666701</v>
      </c>
      <c r="AO11" s="387">
        <v>34894.166666666701</v>
      </c>
      <c r="AP11" s="387">
        <v>35089</v>
      </c>
      <c r="AQ11" s="387">
        <v>35004.666666666701</v>
      </c>
      <c r="AR11" s="387">
        <v>35115.166666666701</v>
      </c>
      <c r="AS11" s="387">
        <v>35225.666666666701</v>
      </c>
      <c r="AT11" s="387">
        <v>35090</v>
      </c>
      <c r="AU11" s="387">
        <v>35648</v>
      </c>
      <c r="AV11" s="387">
        <v>34823</v>
      </c>
      <c r="AW11" s="387">
        <v>35869</v>
      </c>
      <c r="AX11" s="387">
        <v>38900</v>
      </c>
      <c r="AY11" s="387">
        <v>48637</v>
      </c>
      <c r="AZ11" s="387">
        <v>46484</v>
      </c>
      <c r="BA11" s="387">
        <v>48182</v>
      </c>
      <c r="BB11" s="387">
        <v>48880</v>
      </c>
      <c r="BC11" s="387">
        <v>53437</v>
      </c>
      <c r="BD11" s="387">
        <v>53976</v>
      </c>
      <c r="BE11" s="387">
        <v>40000</v>
      </c>
      <c r="BF11" s="387">
        <v>35076</v>
      </c>
      <c r="BG11" s="387">
        <v>35172</v>
      </c>
      <c r="BH11" s="387">
        <v>38937</v>
      </c>
      <c r="BI11" s="387">
        <v>40545</v>
      </c>
      <c r="BJ11" s="387">
        <v>43117</v>
      </c>
      <c r="BK11" s="387">
        <v>41200</v>
      </c>
      <c r="BL11" s="387">
        <v>35000</v>
      </c>
      <c r="BM11" s="387">
        <v>37500</v>
      </c>
      <c r="BN11" s="387">
        <v>35100</v>
      </c>
      <c r="BO11" s="387">
        <v>37300</v>
      </c>
      <c r="BP11" s="387">
        <v>37300</v>
      </c>
      <c r="BQ11" s="387">
        <v>39700</v>
      </c>
      <c r="BR11" s="387">
        <v>41700</v>
      </c>
      <c r="BS11" s="387">
        <v>40900</v>
      </c>
      <c r="BT11" s="387">
        <v>38000</v>
      </c>
      <c r="BU11" s="387">
        <v>25000</v>
      </c>
      <c r="BV11" s="387">
        <v>19100</v>
      </c>
      <c r="BW11" s="387">
        <v>25000</v>
      </c>
      <c r="BX11" s="387">
        <v>31800</v>
      </c>
      <c r="BY11" s="387">
        <v>33800</v>
      </c>
      <c r="BZ11" s="387">
        <v>35100</v>
      </c>
      <c r="CA11" s="387">
        <v>36000</v>
      </c>
      <c r="CB11" s="387">
        <v>35700</v>
      </c>
      <c r="CC11" s="387">
        <v>35700</v>
      </c>
      <c r="CD11" s="387">
        <v>39300</v>
      </c>
      <c r="CE11" s="387">
        <v>42500</v>
      </c>
      <c r="CF11" s="387">
        <v>46600</v>
      </c>
      <c r="CG11" s="387">
        <v>48300</v>
      </c>
      <c r="CH11" s="387">
        <v>44700</v>
      </c>
      <c r="CI11" s="387">
        <v>47100</v>
      </c>
      <c r="CJ11" s="387">
        <v>50610</v>
      </c>
      <c r="CK11" s="387">
        <v>50620</v>
      </c>
      <c r="CL11" s="387">
        <v>44350</v>
      </c>
      <c r="CM11" s="387">
        <f t="shared" si="0"/>
        <v>36990.060317460338</v>
      </c>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row>
    <row r="12" spans="1:178" ht="12.75" customHeight="1">
      <c r="A12" s="1055" t="s">
        <v>604</v>
      </c>
      <c r="B12" s="159" t="s">
        <v>309</v>
      </c>
      <c r="C12" s="393" t="s">
        <v>310</v>
      </c>
      <c r="D12" s="393"/>
      <c r="E12" s="1057" t="s">
        <v>311</v>
      </c>
      <c r="F12" s="394" t="s">
        <v>148</v>
      </c>
      <c r="G12" s="395">
        <f>Feed!$F$4*1000/12</f>
        <v>47416.666666666664</v>
      </c>
      <c r="H12" s="395">
        <f>Feed!$F$4*1000/12</f>
        <v>47416.666666666664</v>
      </c>
      <c r="I12" s="395">
        <f>Feed!$F$4*1000/12</f>
        <v>47416.666666666664</v>
      </c>
      <c r="J12" s="395">
        <f>Feed!$F$4*1000/12</f>
        <v>47416.666666666664</v>
      </c>
      <c r="K12" s="395">
        <f>Feed!$F$4*1000/12</f>
        <v>47416.666666666664</v>
      </c>
      <c r="L12" s="395">
        <f>Feed!$F$4*1000/12</f>
        <v>47416.666666666664</v>
      </c>
      <c r="M12" s="395">
        <f>Feed!$F$4*1000/12</f>
        <v>47416.666666666664</v>
      </c>
      <c r="N12" s="395">
        <f>Feed!$F$4*1000/12</f>
        <v>47416.666666666664</v>
      </c>
      <c r="O12" s="395">
        <f>Feed!$F$4*1000/12</f>
        <v>47416.666666666664</v>
      </c>
      <c r="P12" s="396">
        <f>Feed!$F$4*1000/12</f>
        <v>47416.666666666664</v>
      </c>
      <c r="Q12" s="395">
        <f>Feed!$F$4*1000/12</f>
        <v>47416.666666666664</v>
      </c>
      <c r="R12" s="395">
        <f>Feed!$F$4*1000/12</f>
        <v>47416.666666666664</v>
      </c>
      <c r="S12" s="395">
        <f>Feed!$F$4*1000/12</f>
        <v>47416.666666666664</v>
      </c>
      <c r="T12" s="395">
        <f>Feed!$F$4*1000/12</f>
        <v>47416.666666666664</v>
      </c>
      <c r="U12" s="395">
        <f>Feed!$F$4*1000/12</f>
        <v>47416.666666666664</v>
      </c>
      <c r="V12" s="395">
        <f>Feed!$F$4*1000/12</f>
        <v>47416.666666666664</v>
      </c>
      <c r="W12" s="395">
        <f>Feed!$F$4*1000/12</f>
        <v>47416.666666666664</v>
      </c>
      <c r="X12" s="395">
        <f>Feed!$F$4*1000/12</f>
        <v>47416.666666666664</v>
      </c>
      <c r="Y12" s="395">
        <f>Feed!$F$4*1000/12</f>
        <v>47416.666666666664</v>
      </c>
      <c r="Z12" s="395">
        <f>Feed!$F$4*1000/12</f>
        <v>47416.666666666664</v>
      </c>
      <c r="AA12" s="395">
        <f>Feed!$F$4*1000/12</f>
        <v>47416.666666666664</v>
      </c>
      <c r="AB12" s="395">
        <f>Feed!$F$4*1000/12</f>
        <v>47416.666666666664</v>
      </c>
      <c r="AC12" s="395">
        <f>Feed!$F$4*1000/12</f>
        <v>47416.666666666664</v>
      </c>
      <c r="AD12" s="395">
        <f>Feed!$F$4*1000/12</f>
        <v>47416.666666666664</v>
      </c>
      <c r="AE12" s="396">
        <f>Feed!$F$4*1000/12</f>
        <v>47416.666666666664</v>
      </c>
      <c r="AF12" s="395">
        <f>Feed!$F$4*1000/12</f>
        <v>47416.666666666664</v>
      </c>
      <c r="AG12" s="395">
        <f>Feed!$F$4*1000/12</f>
        <v>47416.666666666664</v>
      </c>
      <c r="AH12" s="395">
        <f>Feed!$F$4*1000/12</f>
        <v>47416.666666666664</v>
      </c>
      <c r="AI12" s="395">
        <f>Feed!$F$4*1000/12</f>
        <v>47416.666666666664</v>
      </c>
      <c r="AJ12" s="395">
        <f>Feed!$F$4*1000/12</f>
        <v>47416.666666666664</v>
      </c>
      <c r="AK12" s="395">
        <f>Feed!$F$4*1000/12</f>
        <v>47416.666666666664</v>
      </c>
      <c r="AL12" s="395">
        <f>Feed!$F$4*1000/12</f>
        <v>47416.666666666664</v>
      </c>
      <c r="AM12" s="395">
        <f>Feed!$F$4*1000/12</f>
        <v>47416.666666666664</v>
      </c>
      <c r="AN12" s="395">
        <f>Feed!$F$4*1000/12</f>
        <v>47416.666666666664</v>
      </c>
      <c r="AO12" s="395">
        <f>Feed!$F$4*1000/12</f>
        <v>47416.666666666664</v>
      </c>
      <c r="AP12" s="395">
        <f>Feed!$F$4*1000/12</f>
        <v>47416.666666666664</v>
      </c>
      <c r="AQ12" s="395">
        <f>Feed!$F$4*1000/12</f>
        <v>47416.666666666664</v>
      </c>
      <c r="AR12" s="395">
        <f>Feed!$F$4*1000/12</f>
        <v>47416.666666666664</v>
      </c>
      <c r="AS12" s="395">
        <f>Feed!$F$4*1000/12</f>
        <v>47416.666666666664</v>
      </c>
      <c r="AT12" s="395">
        <f>Feed!$F$4*1000/12</f>
        <v>47416.666666666664</v>
      </c>
      <c r="AU12" s="395">
        <f>Feed!$F$4*1000/12</f>
        <v>47416.666666666664</v>
      </c>
      <c r="AV12" s="395">
        <f>Feed!$F$4*1000/12</f>
        <v>47416.666666666664</v>
      </c>
      <c r="AW12" s="395">
        <f>Feed!$F$4*1000/12</f>
        <v>47416.666666666664</v>
      </c>
      <c r="AX12" s="395">
        <f>Feed!$F$4*1000/12</f>
        <v>47416.666666666664</v>
      </c>
      <c r="AY12" s="395">
        <f>Feed!$F$4*1000/12</f>
        <v>47416.666666666664</v>
      </c>
      <c r="AZ12" s="395">
        <f>Feed!$F$4*1000/12</f>
        <v>47416.666666666664</v>
      </c>
      <c r="BA12" s="395">
        <f>Feed!$F$4*1000/12</f>
        <v>47416.666666666664</v>
      </c>
      <c r="BB12" s="395">
        <f>Feed!$F$4*1000/12</f>
        <v>47416.666666666664</v>
      </c>
      <c r="BC12" s="395">
        <f>Feed!$F$4*1000/12</f>
        <v>47416.666666666664</v>
      </c>
      <c r="BD12" s="395">
        <f>Feed!$F$4*1000/12</f>
        <v>47416.666666666664</v>
      </c>
      <c r="BE12" s="395">
        <f>Feed!$F$4*1000/12</f>
        <v>47416.666666666664</v>
      </c>
      <c r="BF12" s="395">
        <f>Feed!$F$4*1000/12</f>
        <v>47416.666666666664</v>
      </c>
      <c r="BG12" s="395">
        <f>Feed!$F$4*1000/12</f>
        <v>47416.666666666664</v>
      </c>
      <c r="BH12" s="395">
        <f>Feed!$F$4*1000/12</f>
        <v>47416.666666666664</v>
      </c>
      <c r="BI12" s="395">
        <f>Feed!$F$4*1000/12</f>
        <v>47416.666666666664</v>
      </c>
      <c r="BJ12" s="395">
        <f>Feed!$F$4*1000/12</f>
        <v>47416.666666666664</v>
      </c>
      <c r="BK12" s="395">
        <f>Feed!$F$4*1000/12</f>
        <v>47416.666666666664</v>
      </c>
      <c r="BL12" s="395">
        <f>Feed!$F$4*1000/12</f>
        <v>47416.666666666664</v>
      </c>
      <c r="BM12" s="395">
        <f>Feed!$F$4*1000/12</f>
        <v>47416.666666666664</v>
      </c>
      <c r="BN12" s="395">
        <f>Feed!$F$4*1000/12</f>
        <v>47416.666666666664</v>
      </c>
      <c r="BO12" s="395">
        <f>Feed!$F$4*1000/12</f>
        <v>47416.666666666664</v>
      </c>
      <c r="BP12" s="395">
        <f>Feed!$F$4*1000/12</f>
        <v>47416.666666666664</v>
      </c>
      <c r="BQ12" s="395">
        <f>Feed!$F$4*1000/12</f>
        <v>47416.666666666664</v>
      </c>
      <c r="BR12" s="395">
        <f>Feed!$F$4*1000/12</f>
        <v>47416.666666666664</v>
      </c>
      <c r="BS12" s="395">
        <f>Feed!$F$4*1000/12</f>
        <v>47416.666666666664</v>
      </c>
      <c r="BT12" s="395">
        <f>Feed!$F$4*1000/12</f>
        <v>47416.666666666664</v>
      </c>
      <c r="BU12" s="395">
        <f>Feed!$F$4*1000/12</f>
        <v>47416.666666666664</v>
      </c>
      <c r="BV12" s="395">
        <f>Feed!$F$4*1000/12</f>
        <v>47416.666666666664</v>
      </c>
      <c r="BW12" s="395">
        <f>Feed!$F$4*1000/12</f>
        <v>47416.666666666664</v>
      </c>
      <c r="BX12" s="395">
        <f>Feed!$F$4*1000/12</f>
        <v>47416.666666666664</v>
      </c>
      <c r="BY12" s="395">
        <f>Feed!$F$4*1000/12</f>
        <v>47416.666666666664</v>
      </c>
      <c r="BZ12" s="395">
        <f>Feed!$F$4*1000/12</f>
        <v>47416.666666666664</v>
      </c>
      <c r="CA12" s="395">
        <f>Feed!$F$4*1000/12</f>
        <v>47416.666666666664</v>
      </c>
      <c r="CB12" s="395">
        <f>Feed!$F$4*1000/12</f>
        <v>47416.666666666664</v>
      </c>
      <c r="CC12" s="395">
        <f>Feed!$F$4*1000/12</f>
        <v>47416.666666666664</v>
      </c>
      <c r="CD12" s="395">
        <f>Feed!$F$4*1000/12</f>
        <v>47416.666666666664</v>
      </c>
      <c r="CE12" s="395">
        <f>Feed!$F$4*1000/12</f>
        <v>47416.666666666664</v>
      </c>
      <c r="CF12" s="395">
        <f>Feed!$F$4*1000/12</f>
        <v>47416.666666666664</v>
      </c>
      <c r="CG12" s="395">
        <f>Feed!$F$4*1000/12</f>
        <v>47416.666666666664</v>
      </c>
      <c r="CH12" s="395">
        <f>Feed!$F$4*1000/12</f>
        <v>47416.666666666664</v>
      </c>
      <c r="CI12" s="395">
        <f>Feed!$F$4*1000/12</f>
        <v>47416.666666666664</v>
      </c>
      <c r="CJ12" s="395">
        <f>Feed!$F$4*1000/12</f>
        <v>47416.666666666664</v>
      </c>
      <c r="CK12" s="395">
        <f>Feed!$F$4*1000/12</f>
        <v>47416.666666666664</v>
      </c>
      <c r="CL12" s="395">
        <f>Feed!$F$4*1000/12</f>
        <v>47416.666666666664</v>
      </c>
      <c r="CM12" s="397">
        <f t="shared" si="0"/>
        <v>47416.666666666613</v>
      </c>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row>
    <row r="13" spans="1:178">
      <c r="A13" s="1056"/>
      <c r="B13" s="398" t="s">
        <v>309</v>
      </c>
      <c r="C13" s="399" t="s">
        <v>310</v>
      </c>
      <c r="D13" s="399"/>
      <c r="E13" s="1058"/>
      <c r="F13" s="400" t="s">
        <v>0</v>
      </c>
      <c r="G13" s="395">
        <f>Feed!$F$6*1000/12</f>
        <v>58083.333333333336</v>
      </c>
      <c r="H13" s="395">
        <f>Feed!$F$6*1000/12</f>
        <v>58083.333333333336</v>
      </c>
      <c r="I13" s="395">
        <f>Feed!$F$6*1000/12</f>
        <v>58083.333333333336</v>
      </c>
      <c r="J13" s="395">
        <f>Feed!$F$6*1000/12</f>
        <v>58083.333333333336</v>
      </c>
      <c r="K13" s="395">
        <f>Feed!$F$6*1000/12</f>
        <v>58083.333333333336</v>
      </c>
      <c r="L13" s="395">
        <f>Feed!$F$6*1000/12</f>
        <v>58083.333333333336</v>
      </c>
      <c r="M13" s="395">
        <f>Feed!$F$6*1000/12</f>
        <v>58083.333333333336</v>
      </c>
      <c r="N13" s="395">
        <f>Feed!$F$6*1000/12</f>
        <v>58083.333333333336</v>
      </c>
      <c r="O13" s="395">
        <f>Feed!$F$6*1000/12</f>
        <v>58083.333333333336</v>
      </c>
      <c r="P13" s="395">
        <f>Feed!$F$6*1000/12</f>
        <v>58083.333333333336</v>
      </c>
      <c r="Q13" s="395">
        <f>Feed!$F$6*1000/12</f>
        <v>58083.333333333336</v>
      </c>
      <c r="R13" s="395">
        <f>Feed!$F$6*1000/12</f>
        <v>58083.333333333336</v>
      </c>
      <c r="S13" s="395">
        <f>Feed!$F$6*1000/12</f>
        <v>58083.333333333336</v>
      </c>
      <c r="T13" s="395">
        <f>Feed!$F$6*1000/12</f>
        <v>58083.333333333336</v>
      </c>
      <c r="U13" s="395">
        <f>Feed!$F$6*1000/12</f>
        <v>58083.333333333336</v>
      </c>
      <c r="V13" s="395">
        <f>Feed!$F$6*1000/12</f>
        <v>58083.333333333336</v>
      </c>
      <c r="W13" s="395">
        <f>Feed!$F$6*1000/12</f>
        <v>58083.333333333336</v>
      </c>
      <c r="X13" s="395">
        <f>Feed!$F$6*1000/12</f>
        <v>58083.333333333336</v>
      </c>
      <c r="Y13" s="395">
        <f>Feed!$F$6*1000/12</f>
        <v>58083.333333333336</v>
      </c>
      <c r="Z13" s="395">
        <f>Feed!$F$6*1000/12</f>
        <v>58083.333333333336</v>
      </c>
      <c r="AA13" s="395">
        <f>Feed!$F$6*1000/12</f>
        <v>58083.333333333336</v>
      </c>
      <c r="AB13" s="395">
        <f>Feed!$F$6*1000/12</f>
        <v>58083.333333333336</v>
      </c>
      <c r="AC13" s="395">
        <f>Feed!$F$6*1000/12</f>
        <v>58083.333333333336</v>
      </c>
      <c r="AD13" s="395">
        <f>Feed!$F$6*1000/12</f>
        <v>58083.333333333336</v>
      </c>
      <c r="AE13" s="395">
        <f>Feed!$F$6*1000/12</f>
        <v>58083.333333333336</v>
      </c>
      <c r="AF13" s="395">
        <f>Feed!$F$6*1000/12</f>
        <v>58083.333333333336</v>
      </c>
      <c r="AG13" s="395">
        <f>Feed!$F$6*1000/12</f>
        <v>58083.333333333336</v>
      </c>
      <c r="AH13" s="395">
        <f>Feed!$F$6*1000/12</f>
        <v>58083.333333333336</v>
      </c>
      <c r="AI13" s="395">
        <f>Feed!$F$6*1000/12</f>
        <v>58083.333333333336</v>
      </c>
      <c r="AJ13" s="395">
        <f>Feed!$F$6*1000/12</f>
        <v>58083.333333333336</v>
      </c>
      <c r="AK13" s="395">
        <f>Feed!$F$6*1000/12</f>
        <v>58083.333333333336</v>
      </c>
      <c r="AL13" s="395">
        <f>Feed!$F$6*1000/12</f>
        <v>58083.333333333336</v>
      </c>
      <c r="AM13" s="395">
        <f>Feed!$F$6*1000/12</f>
        <v>58083.333333333336</v>
      </c>
      <c r="AN13" s="395">
        <f>Feed!$F$6*1000/12</f>
        <v>58083.333333333336</v>
      </c>
      <c r="AO13" s="395">
        <f>Feed!$F$6*1000/12</f>
        <v>58083.333333333336</v>
      </c>
      <c r="AP13" s="395">
        <f>Feed!$F$6*1000/12</f>
        <v>58083.333333333336</v>
      </c>
      <c r="AQ13" s="395">
        <f>Feed!$F$6*1000/12</f>
        <v>58083.333333333336</v>
      </c>
      <c r="AR13" s="395">
        <f>Feed!$F$6*1000/12</f>
        <v>58083.333333333336</v>
      </c>
      <c r="AS13" s="395">
        <f>Feed!$F$6*1000/12</f>
        <v>58083.333333333336</v>
      </c>
      <c r="AT13" s="395">
        <f>Feed!$F$6*1000/12</f>
        <v>58083.333333333336</v>
      </c>
      <c r="AU13" s="395">
        <f>Feed!$F$6*1000/12</f>
        <v>58083.333333333336</v>
      </c>
      <c r="AV13" s="395">
        <f>Feed!$F$6*1000/12</f>
        <v>58083.333333333336</v>
      </c>
      <c r="AW13" s="395">
        <f>Feed!$F$6*1000/12</f>
        <v>58083.333333333336</v>
      </c>
      <c r="AX13" s="395">
        <f>Feed!$F$6*1000/12</f>
        <v>58083.333333333336</v>
      </c>
      <c r="AY13" s="395">
        <f>Feed!$F$6*1000/12</f>
        <v>58083.333333333336</v>
      </c>
      <c r="AZ13" s="395">
        <f>Feed!$F$6*1000/12</f>
        <v>58083.333333333336</v>
      </c>
      <c r="BA13" s="395">
        <f>Feed!$F$6*1000/12</f>
        <v>58083.333333333336</v>
      </c>
      <c r="BB13" s="395">
        <f>Feed!$F$6*1000/12</f>
        <v>58083.333333333336</v>
      </c>
      <c r="BC13" s="395">
        <f>Feed!$F$6*1000/12</f>
        <v>58083.333333333336</v>
      </c>
      <c r="BD13" s="395">
        <f>Feed!$F$6*1000/12</f>
        <v>58083.333333333336</v>
      </c>
      <c r="BE13" s="395">
        <f>Feed!$F$6*1000/12</f>
        <v>58083.333333333336</v>
      </c>
      <c r="BF13" s="395">
        <f>Feed!$F$6*1000/12</f>
        <v>58083.333333333336</v>
      </c>
      <c r="BG13" s="395">
        <f>Feed!$F$6*1000/12</f>
        <v>58083.333333333336</v>
      </c>
      <c r="BH13" s="395">
        <f>Feed!$F$6*1000/12</f>
        <v>58083.333333333336</v>
      </c>
      <c r="BI13" s="395">
        <f>Feed!$F$6*1000/12</f>
        <v>58083.333333333336</v>
      </c>
      <c r="BJ13" s="395">
        <f>Feed!$F$6*1000/12</f>
        <v>58083.333333333336</v>
      </c>
      <c r="BK13" s="395">
        <f>Feed!$F$6*1000/12</f>
        <v>58083.333333333336</v>
      </c>
      <c r="BL13" s="395">
        <f>Feed!$F$6*1000/12</f>
        <v>58083.333333333336</v>
      </c>
      <c r="BM13" s="395">
        <f>Feed!$F$6*1000/12</f>
        <v>58083.333333333336</v>
      </c>
      <c r="BN13" s="395">
        <f>Feed!$F$6*1000/12</f>
        <v>58083.333333333336</v>
      </c>
      <c r="BO13" s="395">
        <f>Feed!$F$6*1000/12</f>
        <v>58083.333333333336</v>
      </c>
      <c r="BP13" s="395">
        <f>Feed!$F$6*1000/12</f>
        <v>58083.333333333336</v>
      </c>
      <c r="BQ13" s="395">
        <f>Feed!$F$6*1000/12</f>
        <v>58083.333333333336</v>
      </c>
      <c r="BR13" s="395">
        <f>Feed!$F$6*1000/12</f>
        <v>58083.333333333336</v>
      </c>
      <c r="BS13" s="395">
        <f>Feed!$F$6*1000/12</f>
        <v>58083.333333333336</v>
      </c>
      <c r="BT13" s="395">
        <f>Feed!$F$6*1000/12</f>
        <v>58083.333333333336</v>
      </c>
      <c r="BU13" s="395">
        <f>Feed!$F$6*1000/12</f>
        <v>58083.333333333336</v>
      </c>
      <c r="BV13" s="395">
        <f>Feed!$F$6*1000/12</f>
        <v>58083.333333333336</v>
      </c>
      <c r="BW13" s="395">
        <f>Feed!$F$6*1000/12</f>
        <v>58083.333333333336</v>
      </c>
      <c r="BX13" s="395">
        <f>Feed!$F$6*1000/12</f>
        <v>58083.333333333336</v>
      </c>
      <c r="BY13" s="395">
        <f>Feed!$F$6*1000/12</f>
        <v>58083.333333333336</v>
      </c>
      <c r="BZ13" s="395">
        <f>Feed!$F$6*1000/12</f>
        <v>58083.333333333336</v>
      </c>
      <c r="CA13" s="395">
        <f>Feed!$F$6*1000/12</f>
        <v>58083.333333333336</v>
      </c>
      <c r="CB13" s="395">
        <f>Feed!$F$6*1000/12</f>
        <v>58083.333333333336</v>
      </c>
      <c r="CC13" s="395">
        <f>Feed!$F$6*1000/12</f>
        <v>58083.333333333336</v>
      </c>
      <c r="CD13" s="395">
        <f>Feed!$F$6*1000/12</f>
        <v>58083.333333333336</v>
      </c>
      <c r="CE13" s="395">
        <f>Feed!$F$6*1000/12</f>
        <v>58083.333333333336</v>
      </c>
      <c r="CF13" s="395">
        <f>Feed!$F$6*1000/12</f>
        <v>58083.333333333336</v>
      </c>
      <c r="CG13" s="395">
        <f>Feed!$F$6*1000/12</f>
        <v>58083.333333333336</v>
      </c>
      <c r="CH13" s="395">
        <f>Feed!$F$6*1000/12</f>
        <v>58083.333333333336</v>
      </c>
      <c r="CI13" s="395">
        <f>Feed!$F$6*1000/12</f>
        <v>58083.333333333336</v>
      </c>
      <c r="CJ13" s="395">
        <f>Feed!$F$6*1000/12</f>
        <v>58083.333333333336</v>
      </c>
      <c r="CK13" s="395">
        <f>Feed!$F$6*1000/12</f>
        <v>58083.333333333336</v>
      </c>
      <c r="CL13" s="395">
        <f>Feed!$F$6*1000/12</f>
        <v>58083.333333333336</v>
      </c>
      <c r="CM13" s="397">
        <f t="shared" si="0"/>
        <v>58083.333333333343</v>
      </c>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row>
    <row r="14" spans="1:178">
      <c r="A14" s="1056"/>
      <c r="B14" s="398" t="s">
        <v>309</v>
      </c>
      <c r="C14" s="399" t="s">
        <v>310</v>
      </c>
      <c r="D14" s="399"/>
      <c r="E14" s="1058"/>
      <c r="F14" s="400" t="s">
        <v>304</v>
      </c>
      <c r="G14" s="395">
        <f>Feed!$F$7*1000/12</f>
        <v>11333.333333333334</v>
      </c>
      <c r="H14" s="395">
        <f>Feed!$F$7*1000/12</f>
        <v>11333.333333333334</v>
      </c>
      <c r="I14" s="395">
        <f>Feed!$F$7*1000/12</f>
        <v>11333.333333333334</v>
      </c>
      <c r="J14" s="395">
        <f>Feed!$F$7*1000/12</f>
        <v>11333.333333333334</v>
      </c>
      <c r="K14" s="395">
        <f>Feed!$F$7*1000/12</f>
        <v>11333.333333333334</v>
      </c>
      <c r="L14" s="395">
        <f>Feed!$F$7*1000/12</f>
        <v>11333.333333333334</v>
      </c>
      <c r="M14" s="395">
        <f>Feed!$F$7*1000/12</f>
        <v>11333.333333333334</v>
      </c>
      <c r="N14" s="395">
        <f>Feed!$F$7*1000/12</f>
        <v>11333.333333333334</v>
      </c>
      <c r="O14" s="395">
        <f>Feed!$F$7*1000/12</f>
        <v>11333.333333333334</v>
      </c>
      <c r="P14" s="395">
        <f>Feed!$F$7*1000/12</f>
        <v>11333.333333333334</v>
      </c>
      <c r="Q14" s="395">
        <f>Feed!$F$7*1000/12</f>
        <v>11333.333333333334</v>
      </c>
      <c r="R14" s="395">
        <f>Feed!$F$7*1000/12</f>
        <v>11333.333333333334</v>
      </c>
      <c r="S14" s="395">
        <f>Feed!$F$7*1000/12</f>
        <v>11333.333333333334</v>
      </c>
      <c r="T14" s="395">
        <f>Feed!$F$7*1000/12</f>
        <v>11333.333333333334</v>
      </c>
      <c r="U14" s="395">
        <f>Feed!$F$7*1000/12</f>
        <v>11333.333333333334</v>
      </c>
      <c r="V14" s="395">
        <f>Feed!$F$7*1000/12</f>
        <v>11333.333333333334</v>
      </c>
      <c r="W14" s="395">
        <f>Feed!$F$7*1000/12</f>
        <v>11333.333333333334</v>
      </c>
      <c r="X14" s="395">
        <f>Feed!$F$7*1000/12</f>
        <v>11333.333333333334</v>
      </c>
      <c r="Y14" s="395">
        <f>Feed!$F$7*1000/12</f>
        <v>11333.333333333334</v>
      </c>
      <c r="Z14" s="395">
        <f>Feed!$F$7*1000/12</f>
        <v>11333.333333333334</v>
      </c>
      <c r="AA14" s="395">
        <f>Feed!$F$7*1000/12</f>
        <v>11333.333333333334</v>
      </c>
      <c r="AB14" s="395">
        <f>Feed!$F$7*1000/12</f>
        <v>11333.333333333334</v>
      </c>
      <c r="AC14" s="395">
        <f>Feed!$F$7*1000/12</f>
        <v>11333.333333333334</v>
      </c>
      <c r="AD14" s="395">
        <f>Feed!$F$7*1000/12</f>
        <v>11333.333333333334</v>
      </c>
      <c r="AE14" s="395">
        <f>Feed!$F$7*1000/12</f>
        <v>11333.333333333334</v>
      </c>
      <c r="AF14" s="395">
        <f>Feed!$F$7*1000/12</f>
        <v>11333.333333333334</v>
      </c>
      <c r="AG14" s="395">
        <f>Feed!$F$7*1000/12</f>
        <v>11333.333333333334</v>
      </c>
      <c r="AH14" s="395">
        <f>Feed!$F$7*1000/12</f>
        <v>11333.333333333334</v>
      </c>
      <c r="AI14" s="395">
        <f>Feed!$F$7*1000/12</f>
        <v>11333.333333333334</v>
      </c>
      <c r="AJ14" s="395">
        <f>Feed!$F$7*1000/12</f>
        <v>11333.333333333334</v>
      </c>
      <c r="AK14" s="395">
        <f>Feed!$F$7*1000/12</f>
        <v>11333.333333333334</v>
      </c>
      <c r="AL14" s="395">
        <f>Feed!$F$7*1000/12</f>
        <v>11333.333333333334</v>
      </c>
      <c r="AM14" s="395">
        <f>Feed!$F$7*1000/12</f>
        <v>11333.333333333334</v>
      </c>
      <c r="AN14" s="395">
        <f>Feed!$F$7*1000/12</f>
        <v>11333.333333333334</v>
      </c>
      <c r="AO14" s="395">
        <f>Feed!$F$7*1000/12</f>
        <v>11333.333333333334</v>
      </c>
      <c r="AP14" s="395">
        <f>Feed!$F$7*1000/12</f>
        <v>11333.333333333334</v>
      </c>
      <c r="AQ14" s="395">
        <f>Feed!$F$7*1000/12</f>
        <v>11333.333333333334</v>
      </c>
      <c r="AR14" s="395">
        <f>Feed!$F$7*1000/12</f>
        <v>11333.333333333334</v>
      </c>
      <c r="AS14" s="395">
        <f>Feed!$F$7*1000/12</f>
        <v>11333.333333333334</v>
      </c>
      <c r="AT14" s="395">
        <f>Feed!$F$7*1000/12</f>
        <v>11333.333333333334</v>
      </c>
      <c r="AU14" s="395">
        <f>Feed!$F$7*1000/12</f>
        <v>11333.333333333334</v>
      </c>
      <c r="AV14" s="395">
        <f>Feed!$F$7*1000/12</f>
        <v>11333.333333333334</v>
      </c>
      <c r="AW14" s="395">
        <f>Feed!$F$7*1000/12</f>
        <v>11333.333333333334</v>
      </c>
      <c r="AX14" s="395">
        <f>Feed!$F$7*1000/12</f>
        <v>11333.333333333334</v>
      </c>
      <c r="AY14" s="395">
        <f>Feed!$F$7*1000/12</f>
        <v>11333.333333333334</v>
      </c>
      <c r="AZ14" s="395">
        <f>Feed!$F$7*1000/12</f>
        <v>11333.333333333334</v>
      </c>
      <c r="BA14" s="395">
        <f>Feed!$F$7*1000/12</f>
        <v>11333.333333333334</v>
      </c>
      <c r="BB14" s="395">
        <f>Feed!$F$7*1000/12</f>
        <v>11333.333333333334</v>
      </c>
      <c r="BC14" s="395">
        <f>Feed!$F$7*1000/12</f>
        <v>11333.333333333334</v>
      </c>
      <c r="BD14" s="395">
        <f>Feed!$F$7*1000/12</f>
        <v>11333.333333333334</v>
      </c>
      <c r="BE14" s="395">
        <f>Feed!$F$7*1000/12</f>
        <v>11333.333333333334</v>
      </c>
      <c r="BF14" s="395">
        <f>Feed!$F$7*1000/12</f>
        <v>11333.333333333334</v>
      </c>
      <c r="BG14" s="395">
        <f>Feed!$F$7*1000/12</f>
        <v>11333.333333333334</v>
      </c>
      <c r="BH14" s="395">
        <f>Feed!$F$7*1000/12</f>
        <v>11333.333333333334</v>
      </c>
      <c r="BI14" s="395">
        <f>Feed!$F$7*1000/12</f>
        <v>11333.333333333334</v>
      </c>
      <c r="BJ14" s="395">
        <f>Feed!$F$7*1000/12</f>
        <v>11333.333333333334</v>
      </c>
      <c r="BK14" s="395">
        <f>Feed!$F$7*1000/12</f>
        <v>11333.333333333334</v>
      </c>
      <c r="BL14" s="395">
        <f>Feed!$F$7*1000/12</f>
        <v>11333.333333333334</v>
      </c>
      <c r="BM14" s="395">
        <f>Feed!$F$7*1000/12</f>
        <v>11333.333333333334</v>
      </c>
      <c r="BN14" s="395">
        <f>Feed!$F$7*1000/12</f>
        <v>11333.333333333334</v>
      </c>
      <c r="BO14" s="395">
        <f>Feed!$F$7*1000/12</f>
        <v>11333.333333333334</v>
      </c>
      <c r="BP14" s="395">
        <f>Feed!$F$7*1000/12</f>
        <v>11333.333333333334</v>
      </c>
      <c r="BQ14" s="395">
        <f>Feed!$F$7*1000/12</f>
        <v>11333.333333333334</v>
      </c>
      <c r="BR14" s="395">
        <f>Feed!$F$7*1000/12</f>
        <v>11333.333333333334</v>
      </c>
      <c r="BS14" s="395">
        <f>Feed!$F$7*1000/12</f>
        <v>11333.333333333334</v>
      </c>
      <c r="BT14" s="395">
        <f>Feed!$F$7*1000/12</f>
        <v>11333.333333333334</v>
      </c>
      <c r="BU14" s="395">
        <f>Feed!$F$7*1000/12</f>
        <v>11333.333333333334</v>
      </c>
      <c r="BV14" s="395">
        <f>Feed!$F$7*1000/12</f>
        <v>11333.333333333334</v>
      </c>
      <c r="BW14" s="395">
        <f>Feed!$F$7*1000/12</f>
        <v>11333.333333333334</v>
      </c>
      <c r="BX14" s="395">
        <f>Feed!$F$7*1000/12</f>
        <v>11333.333333333334</v>
      </c>
      <c r="BY14" s="395">
        <f>Feed!$F$7*1000/12</f>
        <v>11333.333333333334</v>
      </c>
      <c r="BZ14" s="395">
        <f>Feed!$F$7*1000/12</f>
        <v>11333.333333333334</v>
      </c>
      <c r="CA14" s="395">
        <f>Feed!$F$7*1000/12</f>
        <v>11333.333333333334</v>
      </c>
      <c r="CB14" s="395">
        <f>Feed!$F$7*1000/12</f>
        <v>11333.333333333334</v>
      </c>
      <c r="CC14" s="395">
        <f>Feed!$F$7*1000/12</f>
        <v>11333.333333333334</v>
      </c>
      <c r="CD14" s="395">
        <f>Feed!$F$7*1000/12</f>
        <v>11333.333333333334</v>
      </c>
      <c r="CE14" s="395">
        <f>Feed!$F$7*1000/12</f>
        <v>11333.333333333334</v>
      </c>
      <c r="CF14" s="395">
        <f>Feed!$F$7*1000/12</f>
        <v>11333.333333333334</v>
      </c>
      <c r="CG14" s="395">
        <f>Feed!$F$7*1000/12</f>
        <v>11333.333333333334</v>
      </c>
      <c r="CH14" s="395">
        <f>Feed!$F$7*1000/12</f>
        <v>11333.333333333334</v>
      </c>
      <c r="CI14" s="395">
        <f>Feed!$F$7*1000/12</f>
        <v>11333.333333333334</v>
      </c>
      <c r="CJ14" s="395">
        <f>Feed!$F$7*1000/12</f>
        <v>11333.333333333334</v>
      </c>
      <c r="CK14" s="395">
        <f>Feed!$F$7*1000/12</f>
        <v>11333.333333333334</v>
      </c>
      <c r="CL14" s="395">
        <f>Feed!$F$7*1000/12</f>
        <v>11333.333333333334</v>
      </c>
      <c r="CM14" s="395">
        <f>Feed!$F$7*1000/12</f>
        <v>11333.333333333334</v>
      </c>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row>
    <row r="15" spans="1:178">
      <c r="A15" s="1056"/>
      <c r="B15" s="398" t="s">
        <v>309</v>
      </c>
      <c r="C15" s="399" t="s">
        <v>310</v>
      </c>
      <c r="D15" s="399"/>
      <c r="E15" s="1058"/>
      <c r="F15" s="400" t="s">
        <v>1</v>
      </c>
      <c r="G15" s="395">
        <f>Feed!$F$5*1000/12</f>
        <v>134250</v>
      </c>
      <c r="H15" s="395">
        <f>Feed!$F$5*1000/12</f>
        <v>134250</v>
      </c>
      <c r="I15" s="395">
        <f>Feed!$F$5*1000/12</f>
        <v>134250</v>
      </c>
      <c r="J15" s="395">
        <f>Feed!$F$5*1000/12</f>
        <v>134250</v>
      </c>
      <c r="K15" s="395">
        <f>Feed!$F$5*1000/12</f>
        <v>134250</v>
      </c>
      <c r="L15" s="395">
        <f>Feed!$F$5*1000/12</f>
        <v>134250</v>
      </c>
      <c r="M15" s="395">
        <f>Feed!$F$5*1000/12</f>
        <v>134250</v>
      </c>
      <c r="N15" s="395">
        <f>Feed!$F$5*1000/12</f>
        <v>134250</v>
      </c>
      <c r="O15" s="395">
        <f>Feed!$F$5*1000/12</f>
        <v>134250</v>
      </c>
      <c r="P15" s="401">
        <f>Feed!$F$5*1000/12</f>
        <v>134250</v>
      </c>
      <c r="Q15" s="395">
        <f>Feed!$F$5*1000/12</f>
        <v>134250</v>
      </c>
      <c r="R15" s="395">
        <f>Feed!$F$5*1000/12</f>
        <v>134250</v>
      </c>
      <c r="S15" s="395">
        <f>Feed!$F$5*1000/12</f>
        <v>134250</v>
      </c>
      <c r="T15" s="395">
        <f>Feed!$F$5*1000/12</f>
        <v>134250</v>
      </c>
      <c r="U15" s="395">
        <f>Feed!$F$5*1000/12</f>
        <v>134250</v>
      </c>
      <c r="V15" s="395">
        <f>Feed!$F$5*1000/12</f>
        <v>134250</v>
      </c>
      <c r="W15" s="395">
        <f>Feed!$F$5*1000/12</f>
        <v>134250</v>
      </c>
      <c r="X15" s="395">
        <f>Feed!$F$5*1000/12</f>
        <v>134250</v>
      </c>
      <c r="Y15" s="395">
        <f>Feed!$F$5*1000/12</f>
        <v>134250</v>
      </c>
      <c r="Z15" s="395">
        <f>Feed!$F$5*1000/12</f>
        <v>134250</v>
      </c>
      <c r="AA15" s="395">
        <f>Feed!$F$5*1000/12</f>
        <v>134250</v>
      </c>
      <c r="AB15" s="395">
        <f>Feed!$F$5*1000/12</f>
        <v>134250</v>
      </c>
      <c r="AC15" s="395">
        <f>Feed!$F$5*1000/12</f>
        <v>134250</v>
      </c>
      <c r="AD15" s="395">
        <f>Feed!$F$5*1000/12</f>
        <v>134250</v>
      </c>
      <c r="AE15" s="401">
        <f>Feed!$F$5*1000/12</f>
        <v>134250</v>
      </c>
      <c r="AF15" s="395">
        <f>Feed!$F$5*1000/12</f>
        <v>134250</v>
      </c>
      <c r="AG15" s="395">
        <f>Feed!$F$5*1000/12</f>
        <v>134250</v>
      </c>
      <c r="AH15" s="395">
        <f>Feed!$F$5*1000/12</f>
        <v>134250</v>
      </c>
      <c r="AI15" s="395">
        <f>Feed!$F$5*1000/12</f>
        <v>134250</v>
      </c>
      <c r="AJ15" s="395">
        <f>Feed!$F$5*1000/12</f>
        <v>134250</v>
      </c>
      <c r="AK15" s="395">
        <f>Feed!$F$5*1000/12</f>
        <v>134250</v>
      </c>
      <c r="AL15" s="395">
        <f>Feed!$F$5*1000/12</f>
        <v>134250</v>
      </c>
      <c r="AM15" s="395">
        <f>Feed!$F$5*1000/12</f>
        <v>134250</v>
      </c>
      <c r="AN15" s="395">
        <f>Feed!$F$5*1000/12</f>
        <v>134250</v>
      </c>
      <c r="AO15" s="395">
        <f>Feed!$F$5*1000/12</f>
        <v>134250</v>
      </c>
      <c r="AP15" s="395">
        <f>Feed!$F$5*1000/12</f>
        <v>134250</v>
      </c>
      <c r="AQ15" s="395">
        <f>Feed!$F$5*1000/12</f>
        <v>134250</v>
      </c>
      <c r="AR15" s="395">
        <f>Feed!$F$5*1000/12</f>
        <v>134250</v>
      </c>
      <c r="AS15" s="395">
        <f>Feed!$F$5*1000/12</f>
        <v>134250</v>
      </c>
      <c r="AT15" s="395">
        <f>Feed!$F$5*1000/12</f>
        <v>134250</v>
      </c>
      <c r="AU15" s="395">
        <f>Feed!$F$5*1000/12</f>
        <v>134250</v>
      </c>
      <c r="AV15" s="395">
        <f>Feed!$F$5*1000/12</f>
        <v>134250</v>
      </c>
      <c r="AW15" s="395">
        <f>Feed!$F$5*1000/12</f>
        <v>134250</v>
      </c>
      <c r="AX15" s="395">
        <f>Feed!$F$5*1000/12</f>
        <v>134250</v>
      </c>
      <c r="AY15" s="395">
        <f>Feed!$F$5*1000/12</f>
        <v>134250</v>
      </c>
      <c r="AZ15" s="395">
        <f>Feed!$F$5*1000/12</f>
        <v>134250</v>
      </c>
      <c r="BA15" s="395">
        <f>Feed!$F$5*1000/12</f>
        <v>134250</v>
      </c>
      <c r="BB15" s="395">
        <f>Feed!$F$5*1000/12</f>
        <v>134250</v>
      </c>
      <c r="BC15" s="395">
        <f>Feed!$F$5*1000/12</f>
        <v>134250</v>
      </c>
      <c r="BD15" s="395">
        <f>Feed!$F$5*1000/12</f>
        <v>134250</v>
      </c>
      <c r="BE15" s="395">
        <f>Feed!$F$5*1000/12</f>
        <v>134250</v>
      </c>
      <c r="BF15" s="395">
        <f>Feed!$F$5*1000/12</f>
        <v>134250</v>
      </c>
      <c r="BG15" s="395">
        <f>Feed!$F$5*1000/12</f>
        <v>134250</v>
      </c>
      <c r="BH15" s="395">
        <f>Feed!$F$5*1000/12</f>
        <v>134250</v>
      </c>
      <c r="BI15" s="395">
        <f>Feed!$F$5*1000/12</f>
        <v>134250</v>
      </c>
      <c r="BJ15" s="395">
        <f>Feed!$F$5*1000/12</f>
        <v>134250</v>
      </c>
      <c r="BK15" s="395">
        <f>Feed!$F$5*1000/12</f>
        <v>134250</v>
      </c>
      <c r="BL15" s="395">
        <f>Feed!$F$5*1000/12</f>
        <v>134250</v>
      </c>
      <c r="BM15" s="395">
        <f>Feed!$F$5*1000/12</f>
        <v>134250</v>
      </c>
      <c r="BN15" s="395">
        <f>Feed!$F$5*1000/12</f>
        <v>134250</v>
      </c>
      <c r="BO15" s="395">
        <f>Feed!$F$5*1000/12</f>
        <v>134250</v>
      </c>
      <c r="BP15" s="395">
        <f>Feed!$F$5*1000/12</f>
        <v>134250</v>
      </c>
      <c r="BQ15" s="395">
        <f>Feed!$F$5*1000/12</f>
        <v>134250</v>
      </c>
      <c r="BR15" s="395">
        <f>Feed!$F$5*1000/12</f>
        <v>134250</v>
      </c>
      <c r="BS15" s="395">
        <f>Feed!$F$5*1000/12</f>
        <v>134250</v>
      </c>
      <c r="BT15" s="395">
        <f>Feed!$F$5*1000/12</f>
        <v>134250</v>
      </c>
      <c r="BU15" s="395">
        <f>Feed!$F$5*1000/12</f>
        <v>134250</v>
      </c>
      <c r="BV15" s="395">
        <f>Feed!$F$5*1000/12</f>
        <v>134250</v>
      </c>
      <c r="BW15" s="395">
        <f>Feed!$F$5*1000/12</f>
        <v>134250</v>
      </c>
      <c r="BX15" s="395">
        <f>Feed!$F$5*1000/12</f>
        <v>134250</v>
      </c>
      <c r="BY15" s="395">
        <f>Feed!$F$5*1000/12</f>
        <v>134250</v>
      </c>
      <c r="BZ15" s="395">
        <f>Feed!$F$5*1000/12</f>
        <v>134250</v>
      </c>
      <c r="CA15" s="395">
        <f>Feed!$F$5*1000/12</f>
        <v>134250</v>
      </c>
      <c r="CB15" s="395">
        <f>Feed!$F$5*1000/12</f>
        <v>134250</v>
      </c>
      <c r="CC15" s="395">
        <f>Feed!$F$5*1000/12</f>
        <v>134250</v>
      </c>
      <c r="CD15" s="395">
        <f>Feed!$F$5*1000/12</f>
        <v>134250</v>
      </c>
      <c r="CE15" s="395">
        <f>Feed!$F$5*1000/12</f>
        <v>134250</v>
      </c>
      <c r="CF15" s="395">
        <f>Feed!$F$5*1000/12</f>
        <v>134250</v>
      </c>
      <c r="CG15" s="395">
        <f>Feed!$F$5*1000/12</f>
        <v>134250</v>
      </c>
      <c r="CH15" s="395">
        <f>Feed!$F$5*1000/12</f>
        <v>134250</v>
      </c>
      <c r="CI15" s="395">
        <f>Feed!$F$5*1000/12</f>
        <v>134250</v>
      </c>
      <c r="CJ15" s="395">
        <f>Feed!$F$5*1000/12</f>
        <v>134250</v>
      </c>
      <c r="CK15" s="395">
        <f>Feed!$F$5*1000/12</f>
        <v>134250</v>
      </c>
      <c r="CL15" s="395">
        <f>Feed!$F$5*1000/12</f>
        <v>134250</v>
      </c>
      <c r="CM15" s="397">
        <f t="shared" ref="CM15:CM33" si="1">AVERAGE(G15:CL15)</f>
        <v>134250</v>
      </c>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row>
    <row r="16" spans="1:178">
      <c r="A16" s="1059" t="s">
        <v>312</v>
      </c>
      <c r="B16" s="286" t="s">
        <v>309</v>
      </c>
      <c r="C16" s="356" t="s">
        <v>310</v>
      </c>
      <c r="D16" s="356"/>
      <c r="E16" s="1062" t="s">
        <v>313</v>
      </c>
      <c r="F16" s="402" t="s">
        <v>145</v>
      </c>
      <c r="G16" s="403">
        <f>(Feed!$G$11/12)*1000</f>
        <v>112302.65150886509</v>
      </c>
      <c r="H16" s="403">
        <f>(Feed!$G$11/12)*1000</f>
        <v>112302.65150886509</v>
      </c>
      <c r="I16" s="403">
        <f>(Feed!$G$11/12)*1000</f>
        <v>112302.65150886509</v>
      </c>
      <c r="J16" s="403">
        <f>(Feed!$G$11/12)*1000</f>
        <v>112302.65150886509</v>
      </c>
      <c r="K16" s="403">
        <f>(Feed!$G$11/12)*1000</f>
        <v>112302.65150886509</v>
      </c>
      <c r="L16" s="403">
        <f>(Feed!$G$11/12)*1000</f>
        <v>112302.65150886509</v>
      </c>
      <c r="M16" s="403">
        <f>(Feed!$G$11/12)*1000</f>
        <v>112302.65150886509</v>
      </c>
      <c r="N16" s="403">
        <f>(Feed!$G$11/12)*1000</f>
        <v>112302.65150886509</v>
      </c>
      <c r="O16" s="403">
        <f>(Feed!$G$11/12)*1000</f>
        <v>112302.65150886509</v>
      </c>
      <c r="P16" s="403">
        <f>(Feed!$G$11/12)*1000</f>
        <v>112302.65150886509</v>
      </c>
      <c r="Q16" s="403">
        <f>(Feed!$G$11/12)*1000</f>
        <v>112302.65150886509</v>
      </c>
      <c r="R16" s="403">
        <f>(Feed!$G$11/12)*1000</f>
        <v>112302.65150886509</v>
      </c>
      <c r="S16" s="403">
        <f>(Feed!$G$11/12)*1000</f>
        <v>112302.65150886509</v>
      </c>
      <c r="T16" s="403">
        <f>(Feed!$G$11/12)*1000</f>
        <v>112302.65150886509</v>
      </c>
      <c r="U16" s="403">
        <f>(Feed!$G$11/12)*1000</f>
        <v>112302.65150886509</v>
      </c>
      <c r="V16" s="403">
        <f>(Feed!$G$11/12)*1000</f>
        <v>112302.65150886509</v>
      </c>
      <c r="W16" s="403">
        <f>(Feed!$G$11/12)*1000</f>
        <v>112302.65150886509</v>
      </c>
      <c r="X16" s="403">
        <f>(Feed!$G$11/12)*1000</f>
        <v>112302.65150886509</v>
      </c>
      <c r="Y16" s="403">
        <f>(Feed!$G$11/12)*1000</f>
        <v>112302.65150886509</v>
      </c>
      <c r="Z16" s="403">
        <f>(Feed!$G$11/12)*1000</f>
        <v>112302.65150886509</v>
      </c>
      <c r="AA16" s="403">
        <f>(Feed!$G$11/12)*1000</f>
        <v>112302.65150886509</v>
      </c>
      <c r="AB16" s="403">
        <f>(Feed!$G$11/12)*1000</f>
        <v>112302.65150886509</v>
      </c>
      <c r="AC16" s="403">
        <f>(Feed!$G$11/12)*1000</f>
        <v>112302.65150886509</v>
      </c>
      <c r="AD16" s="403">
        <f>(Feed!$G$11/12)*1000</f>
        <v>112302.65150886509</v>
      </c>
      <c r="AE16" s="403">
        <f>(Feed!$G$11/12)*1000</f>
        <v>112302.65150886509</v>
      </c>
      <c r="AF16" s="403">
        <f>(Feed!$G$11/12)*1000</f>
        <v>112302.65150886509</v>
      </c>
      <c r="AG16" s="403">
        <f>(Feed!$G$11/12)*1000</f>
        <v>112302.65150886509</v>
      </c>
      <c r="AH16" s="403">
        <f>(Feed!$G$11/12)*1000</f>
        <v>112302.65150886509</v>
      </c>
      <c r="AI16" s="403">
        <f>(Feed!$G$11/12)*1000</f>
        <v>112302.65150886509</v>
      </c>
      <c r="AJ16" s="403">
        <f>(Feed!$G$11/12)*1000</f>
        <v>112302.65150886509</v>
      </c>
      <c r="AK16" s="403">
        <f>(Feed!$G$11/12)*1000</f>
        <v>112302.65150886509</v>
      </c>
      <c r="AL16" s="403">
        <f>(Feed!$G$11/12)*1000</f>
        <v>112302.65150886509</v>
      </c>
      <c r="AM16" s="403">
        <f>(Feed!$G$11/12)*1000</f>
        <v>112302.65150886509</v>
      </c>
      <c r="AN16" s="403">
        <f>(Feed!$G$11/12)*1000</f>
        <v>112302.65150886509</v>
      </c>
      <c r="AO16" s="403">
        <f>(Feed!$G$11/12)*1000</f>
        <v>112302.65150886509</v>
      </c>
      <c r="AP16" s="403">
        <f>(Feed!$G$11/12)*1000</f>
        <v>112302.65150886509</v>
      </c>
      <c r="AQ16" s="403">
        <f>(Feed!$G$11/12)*1000</f>
        <v>112302.65150886509</v>
      </c>
      <c r="AR16" s="403">
        <f>(Feed!$G$11/12)*1000</f>
        <v>112302.65150886509</v>
      </c>
      <c r="AS16" s="403">
        <f>(Feed!$G$11/12)*1000</f>
        <v>112302.65150886509</v>
      </c>
      <c r="AT16" s="403">
        <f>(Feed!$G$11/12)*1000</f>
        <v>112302.65150886509</v>
      </c>
      <c r="AU16" s="403">
        <f>(Feed!$G$11/12)*1000</f>
        <v>112302.65150886509</v>
      </c>
      <c r="AV16" s="403">
        <f>(Feed!$G$11/12)*1000</f>
        <v>112302.65150886509</v>
      </c>
      <c r="AW16" s="403">
        <f>(Feed!$G$11/12)*1000</f>
        <v>112302.65150886509</v>
      </c>
      <c r="AX16" s="403">
        <f>(Feed!$G$11/12)*1000</f>
        <v>112302.65150886509</v>
      </c>
      <c r="AY16" s="403">
        <f>(Feed!$G$11/12)*1000</f>
        <v>112302.65150886509</v>
      </c>
      <c r="AZ16" s="403">
        <f>(Feed!$G$11/12)*1000</f>
        <v>112302.65150886509</v>
      </c>
      <c r="BA16" s="403">
        <f>(Feed!$G$11/12)*1000</f>
        <v>112302.65150886509</v>
      </c>
      <c r="BB16" s="403">
        <f>(Feed!$G$11/12)*1000</f>
        <v>112302.65150886509</v>
      </c>
      <c r="BC16" s="403">
        <f>(Feed!$G$11/12)*1000</f>
        <v>112302.65150886509</v>
      </c>
      <c r="BD16" s="403">
        <f>(Feed!$G$11/12)*1000</f>
        <v>112302.65150886509</v>
      </c>
      <c r="BE16" s="403">
        <f>(Feed!$G$11/12)*1000</f>
        <v>112302.65150886509</v>
      </c>
      <c r="BF16" s="403">
        <f>(Feed!$G$11/12)*1000</f>
        <v>112302.65150886509</v>
      </c>
      <c r="BG16" s="403">
        <f>(Feed!$G$11/12)*1000</f>
        <v>112302.65150886509</v>
      </c>
      <c r="BH16" s="403">
        <f>(Feed!$G$11/12)*1000</f>
        <v>112302.65150886509</v>
      </c>
      <c r="BI16" s="403">
        <f>(Feed!$G$11/12)*1000</f>
        <v>112302.65150886509</v>
      </c>
      <c r="BJ16" s="403">
        <f>(Feed!$G$11/12)*1000</f>
        <v>112302.65150886509</v>
      </c>
      <c r="BK16" s="403">
        <f>(Feed!$G$11/12)*1000</f>
        <v>112302.65150886509</v>
      </c>
      <c r="BL16" s="403">
        <f>(Feed!$G$11/12)*1000</f>
        <v>112302.65150886509</v>
      </c>
      <c r="BM16" s="403">
        <f>(Feed!$G$11/12)*1000</f>
        <v>112302.65150886509</v>
      </c>
      <c r="BN16" s="403">
        <f>(Feed!$G$11/12)*1000</f>
        <v>112302.65150886509</v>
      </c>
      <c r="BO16" s="403">
        <f>(Feed!$G$11/12)*1000</f>
        <v>112302.65150886509</v>
      </c>
      <c r="BP16" s="403">
        <f>(Feed!$G$11/12)*1000</f>
        <v>112302.65150886509</v>
      </c>
      <c r="BQ16" s="403">
        <f>(Feed!$G$11/12)*1000</f>
        <v>112302.65150886509</v>
      </c>
      <c r="BR16" s="403">
        <f>(Feed!$G$11/12)*1000</f>
        <v>112302.65150886509</v>
      </c>
      <c r="BS16" s="403">
        <f>(Feed!$G$11/12)*1000</f>
        <v>112302.65150886509</v>
      </c>
      <c r="BT16" s="403">
        <f>(Feed!$G$11/12)*1000</f>
        <v>112302.65150886509</v>
      </c>
      <c r="BU16" s="403">
        <f>(Feed!$G$11/12)*1000</f>
        <v>112302.65150886509</v>
      </c>
      <c r="BV16" s="403">
        <f>(Feed!$G$11/12)*1000</f>
        <v>112302.65150886509</v>
      </c>
      <c r="BW16" s="403">
        <f>(Feed!$G$11/12)*1000</f>
        <v>112302.65150886509</v>
      </c>
      <c r="BX16" s="403">
        <f>(Feed!$G$11/12)*1000</f>
        <v>112302.65150886509</v>
      </c>
      <c r="BY16" s="403">
        <f>(Feed!$G$11/12)*1000</f>
        <v>112302.65150886509</v>
      </c>
      <c r="BZ16" s="403">
        <f>(Feed!$G$11/12)*1000</f>
        <v>112302.65150886509</v>
      </c>
      <c r="CA16" s="403">
        <f>(Feed!$G$11/12)*1000</f>
        <v>112302.65150886509</v>
      </c>
      <c r="CB16" s="403">
        <f>(Feed!$G$11/12)*1000</f>
        <v>112302.65150886509</v>
      </c>
      <c r="CC16" s="403">
        <f>(Feed!$G$11/12)*1000</f>
        <v>112302.65150886509</v>
      </c>
      <c r="CD16" s="403">
        <f>(Feed!$G$11/12)*1000</f>
        <v>112302.65150886509</v>
      </c>
      <c r="CE16" s="403">
        <f>(Feed!$G$11/12)*1000</f>
        <v>112302.65150886509</v>
      </c>
      <c r="CF16" s="403">
        <f>(Feed!$G$11/12)*1000</f>
        <v>112302.65150886509</v>
      </c>
      <c r="CG16" s="403">
        <f>(Feed!$G$11/12)*1000</f>
        <v>112302.65150886509</v>
      </c>
      <c r="CH16" s="403">
        <f>(Feed!$G$11/12)*1000</f>
        <v>112302.65150886509</v>
      </c>
      <c r="CI16" s="403">
        <f>(Feed!$G$11/12)*1000</f>
        <v>112302.65150886509</v>
      </c>
      <c r="CJ16" s="403">
        <f>(Feed!$G$11/12)*1000</f>
        <v>112302.65150886509</v>
      </c>
      <c r="CK16" s="403">
        <f>(Feed!$G$11/12)*1000</f>
        <v>112302.65150886509</v>
      </c>
      <c r="CL16" s="403">
        <f>(Feed!$G$11/12)*1000</f>
        <v>112302.65150886509</v>
      </c>
      <c r="CM16" s="403">
        <f t="shared" si="1"/>
        <v>112302.65150886511</v>
      </c>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row>
    <row r="17" spans="1:178">
      <c r="A17" s="1060"/>
      <c r="B17" s="2" t="s">
        <v>309</v>
      </c>
      <c r="C17" s="362" t="s">
        <v>310</v>
      </c>
      <c r="D17" s="362"/>
      <c r="E17" s="1063"/>
      <c r="F17" s="404" t="s">
        <v>2</v>
      </c>
      <c r="G17" s="405">
        <f>(Feed!$G$12/12)*1000</f>
        <v>43043.967354023174</v>
      </c>
      <c r="H17" s="405">
        <f>(Feed!$G$12/12)*1000</f>
        <v>43043.967354023174</v>
      </c>
      <c r="I17" s="405">
        <f>(Feed!$G$12/12)*1000</f>
        <v>43043.967354023174</v>
      </c>
      <c r="J17" s="405">
        <f>(Feed!$G$12/12)*1000</f>
        <v>43043.967354023174</v>
      </c>
      <c r="K17" s="405">
        <f>(Feed!$G$12/12)*1000</f>
        <v>43043.967354023174</v>
      </c>
      <c r="L17" s="405">
        <f>(Feed!$G$12/12)*1000</f>
        <v>43043.967354023174</v>
      </c>
      <c r="M17" s="405">
        <f>(Feed!$G$12/12)*1000</f>
        <v>43043.967354023174</v>
      </c>
      <c r="N17" s="405">
        <f>(Feed!$G$12/12)*1000</f>
        <v>43043.967354023174</v>
      </c>
      <c r="O17" s="405">
        <f>(Feed!$G$12/12)*1000</f>
        <v>43043.967354023174</v>
      </c>
      <c r="P17" s="405">
        <f>(Feed!$G$12/12)*1000</f>
        <v>43043.967354023174</v>
      </c>
      <c r="Q17" s="405">
        <f>(Feed!$G$12/12)*1000</f>
        <v>43043.967354023174</v>
      </c>
      <c r="R17" s="405">
        <f>(Feed!$G$12/12)*1000</f>
        <v>43043.967354023174</v>
      </c>
      <c r="S17" s="405">
        <f>(Feed!$G$12/12)*1000</f>
        <v>43043.967354023174</v>
      </c>
      <c r="T17" s="405">
        <f>(Feed!$G$12/12)*1000</f>
        <v>43043.967354023174</v>
      </c>
      <c r="U17" s="405">
        <f>(Feed!$G$12/12)*1000</f>
        <v>43043.967354023174</v>
      </c>
      <c r="V17" s="405">
        <f>(Feed!$G$12/12)*1000</f>
        <v>43043.967354023174</v>
      </c>
      <c r="W17" s="405">
        <f>(Feed!$G$12/12)*1000</f>
        <v>43043.967354023174</v>
      </c>
      <c r="X17" s="405">
        <f>(Feed!$G$12/12)*1000</f>
        <v>43043.967354023174</v>
      </c>
      <c r="Y17" s="405">
        <f>(Feed!$G$12/12)*1000</f>
        <v>43043.967354023174</v>
      </c>
      <c r="Z17" s="405">
        <f>(Feed!$G$12/12)*1000</f>
        <v>43043.967354023174</v>
      </c>
      <c r="AA17" s="405">
        <f>(Feed!$G$12/12)*1000</f>
        <v>43043.967354023174</v>
      </c>
      <c r="AB17" s="405">
        <f>(Feed!$G$12/12)*1000</f>
        <v>43043.967354023174</v>
      </c>
      <c r="AC17" s="405">
        <f>(Feed!$G$12/12)*1000</f>
        <v>43043.967354023174</v>
      </c>
      <c r="AD17" s="405">
        <f>(Feed!$G$12/12)*1000</f>
        <v>43043.967354023174</v>
      </c>
      <c r="AE17" s="405">
        <f>(Feed!$G$12/12)*1000</f>
        <v>43043.967354023174</v>
      </c>
      <c r="AF17" s="405">
        <f>(Feed!$G$12/12)*1000</f>
        <v>43043.967354023174</v>
      </c>
      <c r="AG17" s="405">
        <f>(Feed!$G$12/12)*1000</f>
        <v>43043.967354023174</v>
      </c>
      <c r="AH17" s="405">
        <f>(Feed!$G$12/12)*1000</f>
        <v>43043.967354023174</v>
      </c>
      <c r="AI17" s="405">
        <f>(Feed!$G$12/12)*1000</f>
        <v>43043.967354023174</v>
      </c>
      <c r="AJ17" s="405">
        <f>(Feed!$G$12/12)*1000</f>
        <v>43043.967354023174</v>
      </c>
      <c r="AK17" s="405">
        <f>(Feed!$G$12/12)*1000</f>
        <v>43043.967354023174</v>
      </c>
      <c r="AL17" s="405">
        <f>(Feed!$G$12/12)*1000</f>
        <v>43043.967354023174</v>
      </c>
      <c r="AM17" s="405">
        <f>(Feed!$G$12/12)*1000</f>
        <v>43043.967354023174</v>
      </c>
      <c r="AN17" s="405">
        <f>(Feed!$G$12/12)*1000</f>
        <v>43043.967354023174</v>
      </c>
      <c r="AO17" s="405">
        <f>(Feed!$G$12/12)*1000</f>
        <v>43043.967354023174</v>
      </c>
      <c r="AP17" s="405">
        <f>(Feed!$G$12/12)*1000</f>
        <v>43043.967354023174</v>
      </c>
      <c r="AQ17" s="405">
        <f>(Feed!$G$12/12)*1000</f>
        <v>43043.967354023174</v>
      </c>
      <c r="AR17" s="405">
        <f>(Feed!$G$12/12)*1000</f>
        <v>43043.967354023174</v>
      </c>
      <c r="AS17" s="405">
        <f>(Feed!$G$12/12)*1000</f>
        <v>43043.967354023174</v>
      </c>
      <c r="AT17" s="405">
        <f>(Feed!$G$12/12)*1000</f>
        <v>43043.967354023174</v>
      </c>
      <c r="AU17" s="405">
        <f>(Feed!$G$12/12)*1000</f>
        <v>43043.967354023174</v>
      </c>
      <c r="AV17" s="405">
        <f>(Feed!$G$12/12)*1000</f>
        <v>43043.967354023174</v>
      </c>
      <c r="AW17" s="405">
        <f>(Feed!$G$12/12)*1000</f>
        <v>43043.967354023174</v>
      </c>
      <c r="AX17" s="405">
        <f>(Feed!$G$12/12)*1000</f>
        <v>43043.967354023174</v>
      </c>
      <c r="AY17" s="405">
        <f>(Feed!$G$12/12)*1000</f>
        <v>43043.967354023174</v>
      </c>
      <c r="AZ17" s="405">
        <f>(Feed!$G$12/12)*1000</f>
        <v>43043.967354023174</v>
      </c>
      <c r="BA17" s="405">
        <f>(Feed!$G$12/12)*1000</f>
        <v>43043.967354023174</v>
      </c>
      <c r="BB17" s="405">
        <f>(Feed!$G$12/12)*1000</f>
        <v>43043.967354023174</v>
      </c>
      <c r="BC17" s="405">
        <f>(Feed!$G$12/12)*1000</f>
        <v>43043.967354023174</v>
      </c>
      <c r="BD17" s="405">
        <f>(Feed!$G$12/12)*1000</f>
        <v>43043.967354023174</v>
      </c>
      <c r="BE17" s="405">
        <f>(Feed!$G$12/12)*1000</f>
        <v>43043.967354023174</v>
      </c>
      <c r="BF17" s="405">
        <f>(Feed!$G$12/12)*1000</f>
        <v>43043.967354023174</v>
      </c>
      <c r="BG17" s="405">
        <f>(Feed!$G$12/12)*1000</f>
        <v>43043.967354023174</v>
      </c>
      <c r="BH17" s="405">
        <f>(Feed!$G$12/12)*1000</f>
        <v>43043.967354023174</v>
      </c>
      <c r="BI17" s="405">
        <f>(Feed!$G$12/12)*1000</f>
        <v>43043.967354023174</v>
      </c>
      <c r="BJ17" s="405">
        <f>(Feed!$G$12/12)*1000</f>
        <v>43043.967354023174</v>
      </c>
      <c r="BK17" s="405">
        <f>(Feed!$G$12/12)*1000</f>
        <v>43043.967354023174</v>
      </c>
      <c r="BL17" s="405">
        <f>(Feed!$G$12/12)*1000</f>
        <v>43043.967354023174</v>
      </c>
      <c r="BM17" s="405">
        <f>(Feed!$G$12/12)*1000</f>
        <v>43043.967354023174</v>
      </c>
      <c r="BN17" s="405">
        <f>(Feed!$G$12/12)*1000</f>
        <v>43043.967354023174</v>
      </c>
      <c r="BO17" s="405">
        <f>(Feed!$G$12/12)*1000</f>
        <v>43043.967354023174</v>
      </c>
      <c r="BP17" s="405">
        <f>(Feed!$G$12/12)*1000</f>
        <v>43043.967354023174</v>
      </c>
      <c r="BQ17" s="405">
        <f>(Feed!$G$12/12)*1000</f>
        <v>43043.967354023174</v>
      </c>
      <c r="BR17" s="405">
        <f>(Feed!$G$12/12)*1000</f>
        <v>43043.967354023174</v>
      </c>
      <c r="BS17" s="405">
        <f>(Feed!$G$12/12)*1000</f>
        <v>43043.967354023174</v>
      </c>
      <c r="BT17" s="405">
        <f>(Feed!$G$12/12)*1000</f>
        <v>43043.967354023174</v>
      </c>
      <c r="BU17" s="405">
        <f>(Feed!$G$12/12)*1000</f>
        <v>43043.967354023174</v>
      </c>
      <c r="BV17" s="405">
        <f>(Feed!$G$12/12)*1000</f>
        <v>43043.967354023174</v>
      </c>
      <c r="BW17" s="405">
        <f>(Feed!$G$12/12)*1000</f>
        <v>43043.967354023174</v>
      </c>
      <c r="BX17" s="405">
        <f>(Feed!$G$12/12)*1000</f>
        <v>43043.967354023174</v>
      </c>
      <c r="BY17" s="405">
        <f>(Feed!$G$12/12)*1000</f>
        <v>43043.967354023174</v>
      </c>
      <c r="BZ17" s="405">
        <f>(Feed!$G$12/12)*1000</f>
        <v>43043.967354023174</v>
      </c>
      <c r="CA17" s="405">
        <f>(Feed!$G$12/12)*1000</f>
        <v>43043.967354023174</v>
      </c>
      <c r="CB17" s="405">
        <f>(Feed!$G$12/12)*1000</f>
        <v>43043.967354023174</v>
      </c>
      <c r="CC17" s="405">
        <f>(Feed!$G$12/12)*1000</f>
        <v>43043.967354023174</v>
      </c>
      <c r="CD17" s="405">
        <f>(Feed!$G$12/12)*1000</f>
        <v>43043.967354023174</v>
      </c>
      <c r="CE17" s="405">
        <f>(Feed!$G$12/12)*1000</f>
        <v>43043.967354023174</v>
      </c>
      <c r="CF17" s="405">
        <f>(Feed!$G$12/12)*1000</f>
        <v>43043.967354023174</v>
      </c>
      <c r="CG17" s="405">
        <f>(Feed!$G$12/12)*1000</f>
        <v>43043.967354023174</v>
      </c>
      <c r="CH17" s="405">
        <f>(Feed!$G$12/12)*1000</f>
        <v>43043.967354023174</v>
      </c>
      <c r="CI17" s="405">
        <f>(Feed!$G$12/12)*1000</f>
        <v>43043.967354023174</v>
      </c>
      <c r="CJ17" s="405">
        <f>(Feed!$G$12/12)*1000</f>
        <v>43043.967354023174</v>
      </c>
      <c r="CK17" s="405">
        <f>(Feed!$G$12/12)*1000</f>
        <v>43043.967354023174</v>
      </c>
      <c r="CL17" s="405">
        <f>(Feed!$G$12/12)*1000</f>
        <v>43043.967354023174</v>
      </c>
      <c r="CM17" s="405">
        <f t="shared" si="1"/>
        <v>43043.967354023232</v>
      </c>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row>
    <row r="18" spans="1:178">
      <c r="A18" s="1060"/>
      <c r="B18" s="2" t="s">
        <v>309</v>
      </c>
      <c r="C18" s="362" t="s">
        <v>310</v>
      </c>
      <c r="D18" s="362"/>
      <c r="E18" s="1063"/>
      <c r="F18" s="404" t="str">
        <f>F7</f>
        <v xml:space="preserve">Benzene </v>
      </c>
      <c r="G18" s="405">
        <f>Feed!$G14*1000/12</f>
        <v>11805.984587171182</v>
      </c>
      <c r="H18" s="405">
        <f>Feed!$G14*1000/12</f>
        <v>11805.984587171182</v>
      </c>
      <c r="I18" s="405">
        <f>Feed!$G14*1000/12</f>
        <v>11805.984587171182</v>
      </c>
      <c r="J18" s="405">
        <f>Feed!$G14*1000/12</f>
        <v>11805.984587171182</v>
      </c>
      <c r="K18" s="405">
        <f>Feed!$G14*1000/12</f>
        <v>11805.984587171182</v>
      </c>
      <c r="L18" s="405">
        <f>Feed!$G14*1000/12</f>
        <v>11805.984587171182</v>
      </c>
      <c r="M18" s="405">
        <f>Feed!$G14*1000/12</f>
        <v>11805.984587171182</v>
      </c>
      <c r="N18" s="405">
        <f>Feed!$G14*1000/12</f>
        <v>11805.984587171182</v>
      </c>
      <c r="O18" s="405">
        <f>Feed!$G14*1000/12</f>
        <v>11805.984587171182</v>
      </c>
      <c r="P18" s="405">
        <f>Feed!$G14*1000/12</f>
        <v>11805.984587171182</v>
      </c>
      <c r="Q18" s="405">
        <f>Feed!$G14*1000/12</f>
        <v>11805.984587171182</v>
      </c>
      <c r="R18" s="405">
        <f>Feed!$G14*1000/12</f>
        <v>11805.984587171182</v>
      </c>
      <c r="S18" s="405">
        <f>Feed!$G14*1000/12</f>
        <v>11805.984587171182</v>
      </c>
      <c r="T18" s="405">
        <f>Feed!$G14*1000/12</f>
        <v>11805.984587171182</v>
      </c>
      <c r="U18" s="405">
        <f>Feed!$G14*1000/12</f>
        <v>11805.984587171182</v>
      </c>
      <c r="V18" s="405">
        <f>Feed!$G14*1000/12</f>
        <v>11805.984587171182</v>
      </c>
      <c r="W18" s="405">
        <f>Feed!$G14*1000/12</f>
        <v>11805.984587171182</v>
      </c>
      <c r="X18" s="405">
        <f>Feed!$G14*1000/12</f>
        <v>11805.984587171182</v>
      </c>
      <c r="Y18" s="405">
        <f>Feed!$G14*1000/12</f>
        <v>11805.984587171182</v>
      </c>
      <c r="Z18" s="405">
        <f>Feed!$G14*1000/12</f>
        <v>11805.984587171182</v>
      </c>
      <c r="AA18" s="405">
        <f>Feed!$G14*1000/12</f>
        <v>11805.984587171182</v>
      </c>
      <c r="AB18" s="405">
        <f>Feed!$G14*1000/12</f>
        <v>11805.984587171182</v>
      </c>
      <c r="AC18" s="405">
        <f>Feed!$G14*1000/12</f>
        <v>11805.984587171182</v>
      </c>
      <c r="AD18" s="405">
        <f>Feed!$G14*1000/12</f>
        <v>11805.984587171182</v>
      </c>
      <c r="AE18" s="405">
        <f>Feed!$G14*1000/12</f>
        <v>11805.984587171182</v>
      </c>
      <c r="AF18" s="405">
        <f>Feed!$G14*1000/12</f>
        <v>11805.984587171182</v>
      </c>
      <c r="AG18" s="405">
        <f>Feed!$G14*1000/12</f>
        <v>11805.984587171182</v>
      </c>
      <c r="AH18" s="405">
        <f>Feed!$G14*1000/12</f>
        <v>11805.984587171182</v>
      </c>
      <c r="AI18" s="405">
        <f>Feed!$G14*1000/12</f>
        <v>11805.984587171182</v>
      </c>
      <c r="AJ18" s="405">
        <f>Feed!$G14*1000/12</f>
        <v>11805.984587171182</v>
      </c>
      <c r="AK18" s="405">
        <f>Feed!$G14*1000/12</f>
        <v>11805.984587171182</v>
      </c>
      <c r="AL18" s="405">
        <f>Feed!$G14*1000/12</f>
        <v>11805.984587171182</v>
      </c>
      <c r="AM18" s="405">
        <f>Feed!$G14*1000/12</f>
        <v>11805.984587171182</v>
      </c>
      <c r="AN18" s="405">
        <f>Feed!$G14*1000/12</f>
        <v>11805.984587171182</v>
      </c>
      <c r="AO18" s="405">
        <f>Feed!$G14*1000/12</f>
        <v>11805.984587171182</v>
      </c>
      <c r="AP18" s="405">
        <f>Feed!$G14*1000/12</f>
        <v>11805.984587171182</v>
      </c>
      <c r="AQ18" s="405">
        <f>Feed!$G14*1000/12</f>
        <v>11805.984587171182</v>
      </c>
      <c r="AR18" s="405">
        <f>Feed!$G14*1000/12</f>
        <v>11805.984587171182</v>
      </c>
      <c r="AS18" s="405">
        <f>Feed!$G14*1000/12</f>
        <v>11805.984587171182</v>
      </c>
      <c r="AT18" s="405">
        <f>Feed!$G14*1000/12</f>
        <v>11805.984587171182</v>
      </c>
      <c r="AU18" s="405">
        <f>Feed!$G14*1000/12</f>
        <v>11805.984587171182</v>
      </c>
      <c r="AV18" s="405">
        <f>Feed!$G14*1000/12</f>
        <v>11805.984587171182</v>
      </c>
      <c r="AW18" s="405">
        <f>Feed!$G14*1000/12</f>
        <v>11805.984587171182</v>
      </c>
      <c r="AX18" s="405">
        <f>Feed!$G14*1000/12</f>
        <v>11805.984587171182</v>
      </c>
      <c r="AY18" s="405">
        <f>Feed!$G14*1000/12</f>
        <v>11805.984587171182</v>
      </c>
      <c r="AZ18" s="405">
        <f>Feed!$G14*1000/12</f>
        <v>11805.984587171182</v>
      </c>
      <c r="BA18" s="405">
        <f>Feed!$G14*1000/12</f>
        <v>11805.984587171182</v>
      </c>
      <c r="BB18" s="405">
        <f>Feed!$G14*1000/12</f>
        <v>11805.984587171182</v>
      </c>
      <c r="BC18" s="405">
        <f>Feed!$G14*1000/12</f>
        <v>11805.984587171182</v>
      </c>
      <c r="BD18" s="405">
        <f>Feed!$G14*1000/12</f>
        <v>11805.984587171182</v>
      </c>
      <c r="BE18" s="405">
        <f>Feed!$G14*1000/12</f>
        <v>11805.984587171182</v>
      </c>
      <c r="BF18" s="405">
        <f>Feed!$G14*1000/12</f>
        <v>11805.984587171182</v>
      </c>
      <c r="BG18" s="405">
        <f>Feed!$G14*1000/12</f>
        <v>11805.984587171182</v>
      </c>
      <c r="BH18" s="405">
        <f>Feed!$G14*1000/12</f>
        <v>11805.984587171182</v>
      </c>
      <c r="BI18" s="405">
        <f>Feed!$G14*1000/12</f>
        <v>11805.984587171182</v>
      </c>
      <c r="BJ18" s="405">
        <f>Feed!$G14*1000/12</f>
        <v>11805.984587171182</v>
      </c>
      <c r="BK18" s="405">
        <f>Feed!$G14*1000/12</f>
        <v>11805.984587171182</v>
      </c>
      <c r="BL18" s="405">
        <f>Feed!$G14*1000/12</f>
        <v>11805.984587171182</v>
      </c>
      <c r="BM18" s="405">
        <f>Feed!$G14*1000/12</f>
        <v>11805.984587171182</v>
      </c>
      <c r="BN18" s="405">
        <f>Feed!$G14*1000/12</f>
        <v>11805.984587171182</v>
      </c>
      <c r="BO18" s="405">
        <f>Feed!$G14*1000/12</f>
        <v>11805.984587171182</v>
      </c>
      <c r="BP18" s="405">
        <f>Feed!$G14*1000/12</f>
        <v>11805.984587171182</v>
      </c>
      <c r="BQ18" s="405">
        <f>Feed!$G14*1000/12</f>
        <v>11805.984587171182</v>
      </c>
      <c r="BR18" s="405">
        <f>Feed!$G14*1000/12</f>
        <v>11805.984587171182</v>
      </c>
      <c r="BS18" s="405">
        <f>Feed!$G14*1000/12</f>
        <v>11805.984587171182</v>
      </c>
      <c r="BT18" s="405">
        <f>Feed!$G14*1000/12</f>
        <v>11805.984587171182</v>
      </c>
      <c r="BU18" s="405">
        <f>Feed!$G14*1000/12</f>
        <v>11805.984587171182</v>
      </c>
      <c r="BV18" s="405">
        <f>Feed!$G14*1000/12</f>
        <v>11805.984587171182</v>
      </c>
      <c r="BW18" s="405">
        <f>Feed!$G14*1000/12</f>
        <v>11805.984587171182</v>
      </c>
      <c r="BX18" s="405">
        <f>Feed!$G14*1000/12</f>
        <v>11805.984587171182</v>
      </c>
      <c r="BY18" s="405">
        <f>Feed!$G14*1000/12</f>
        <v>11805.984587171182</v>
      </c>
      <c r="BZ18" s="405">
        <f>Feed!$G14*1000/12</f>
        <v>11805.984587171182</v>
      </c>
      <c r="CA18" s="405">
        <f>Feed!$G14*1000/12</f>
        <v>11805.984587171182</v>
      </c>
      <c r="CB18" s="405">
        <f>Feed!$G14*1000/12</f>
        <v>11805.984587171182</v>
      </c>
      <c r="CC18" s="405">
        <f>Feed!$G14*1000/12</f>
        <v>11805.984587171182</v>
      </c>
      <c r="CD18" s="405">
        <f>Feed!$G14*1000/12</f>
        <v>11805.984587171182</v>
      </c>
      <c r="CE18" s="405">
        <f>Feed!$G14*1000/12</f>
        <v>11805.984587171182</v>
      </c>
      <c r="CF18" s="405">
        <f>Feed!$G14*1000/12</f>
        <v>11805.984587171182</v>
      </c>
      <c r="CG18" s="405">
        <f>Feed!$G14*1000/12</f>
        <v>11805.984587171182</v>
      </c>
      <c r="CH18" s="405">
        <f>Feed!$G14*1000/12</f>
        <v>11805.984587171182</v>
      </c>
      <c r="CI18" s="405">
        <f>Feed!$G14*1000/12</f>
        <v>11805.984587171182</v>
      </c>
      <c r="CJ18" s="405">
        <f>Feed!$G14*1000/12</f>
        <v>11805.984587171182</v>
      </c>
      <c r="CK18" s="405">
        <f>Feed!$G14*1000/12</f>
        <v>11805.984587171182</v>
      </c>
      <c r="CL18" s="405">
        <f>Feed!$G14*1000/12</f>
        <v>11805.984587171182</v>
      </c>
      <c r="CM18" s="405">
        <f t="shared" si="1"/>
        <v>11805.984587171202</v>
      </c>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row>
    <row r="19" spans="1:178">
      <c r="A19" s="1060"/>
      <c r="B19" s="2" t="s">
        <v>309</v>
      </c>
      <c r="C19" s="362" t="s">
        <v>310</v>
      </c>
      <c r="D19" s="362"/>
      <c r="E19" s="1063"/>
      <c r="F19" s="404" t="str">
        <f>F8</f>
        <v xml:space="preserve"> 1,3 Butadiene </v>
      </c>
      <c r="G19" s="405">
        <f>Feed!$G$15*1000/12</f>
        <v>10338.137731868725</v>
      </c>
      <c r="H19" s="405">
        <f>Feed!$G$15*1000/12</f>
        <v>10338.137731868725</v>
      </c>
      <c r="I19" s="405">
        <f>Feed!$G$15*1000/12</f>
        <v>10338.137731868725</v>
      </c>
      <c r="J19" s="405">
        <f>Feed!$G$15*1000/12</f>
        <v>10338.137731868725</v>
      </c>
      <c r="K19" s="405">
        <f>Feed!$G$15*1000/12</f>
        <v>10338.137731868725</v>
      </c>
      <c r="L19" s="405">
        <f>Feed!$G$15*1000/12</f>
        <v>10338.137731868725</v>
      </c>
      <c r="M19" s="405">
        <f>Feed!$G$15*1000/12</f>
        <v>10338.137731868725</v>
      </c>
      <c r="N19" s="405">
        <f>Feed!$G$15*1000/12</f>
        <v>10338.137731868725</v>
      </c>
      <c r="O19" s="405">
        <f>Feed!$G$15*1000/12</f>
        <v>10338.137731868725</v>
      </c>
      <c r="P19" s="405">
        <f>Feed!$G$15*1000/12</f>
        <v>10338.137731868725</v>
      </c>
      <c r="Q19" s="405">
        <f>Feed!$G$15*1000/12</f>
        <v>10338.137731868725</v>
      </c>
      <c r="R19" s="405">
        <f>Feed!$G$15*1000/12</f>
        <v>10338.137731868725</v>
      </c>
      <c r="S19" s="405">
        <f>Feed!$G$15*1000/12</f>
        <v>10338.137731868725</v>
      </c>
      <c r="T19" s="405">
        <f>Feed!$G$15*1000/12</f>
        <v>10338.137731868725</v>
      </c>
      <c r="U19" s="405">
        <f>Feed!$G$15*1000/12</f>
        <v>10338.137731868725</v>
      </c>
      <c r="V19" s="405">
        <f>Feed!$G$15*1000/12</f>
        <v>10338.137731868725</v>
      </c>
      <c r="W19" s="405">
        <f>Feed!$G$15*1000/12</f>
        <v>10338.137731868725</v>
      </c>
      <c r="X19" s="405">
        <f>Feed!$G$15*1000/12</f>
        <v>10338.137731868725</v>
      </c>
      <c r="Y19" s="405">
        <f>Feed!$G$15*1000/12</f>
        <v>10338.137731868725</v>
      </c>
      <c r="Z19" s="405">
        <f>Feed!$G$15*1000/12</f>
        <v>10338.137731868725</v>
      </c>
      <c r="AA19" s="405">
        <f>Feed!$G$15*1000/12</f>
        <v>10338.137731868725</v>
      </c>
      <c r="AB19" s="405">
        <f>Feed!$G$15*1000/12</f>
        <v>10338.137731868725</v>
      </c>
      <c r="AC19" s="405">
        <f>Feed!$G$15*1000/12</f>
        <v>10338.137731868725</v>
      </c>
      <c r="AD19" s="405">
        <f>Feed!$G$15*1000/12</f>
        <v>10338.137731868725</v>
      </c>
      <c r="AE19" s="405">
        <f>Feed!$G$15*1000/12</f>
        <v>10338.137731868725</v>
      </c>
      <c r="AF19" s="405">
        <f>Feed!$G$15*1000/12</f>
        <v>10338.137731868725</v>
      </c>
      <c r="AG19" s="405">
        <f>Feed!$G$15*1000/12</f>
        <v>10338.137731868725</v>
      </c>
      <c r="AH19" s="405">
        <f>Feed!$G$15*1000/12</f>
        <v>10338.137731868725</v>
      </c>
      <c r="AI19" s="405">
        <f>Feed!$G$15*1000/12</f>
        <v>10338.137731868725</v>
      </c>
      <c r="AJ19" s="405">
        <f>Feed!$G$15*1000/12</f>
        <v>10338.137731868725</v>
      </c>
      <c r="AK19" s="405">
        <f>Feed!$G$15*1000/12</f>
        <v>10338.137731868725</v>
      </c>
      <c r="AL19" s="405">
        <f>Feed!$G$15*1000/12</f>
        <v>10338.137731868725</v>
      </c>
      <c r="AM19" s="405">
        <f>Feed!$G$15*1000/12</f>
        <v>10338.137731868725</v>
      </c>
      <c r="AN19" s="405">
        <f>Feed!$G$15*1000/12</f>
        <v>10338.137731868725</v>
      </c>
      <c r="AO19" s="405">
        <f>Feed!$G$15*1000/12</f>
        <v>10338.137731868725</v>
      </c>
      <c r="AP19" s="405">
        <f>Feed!$G$15*1000/12</f>
        <v>10338.137731868725</v>
      </c>
      <c r="AQ19" s="405">
        <f>Feed!$G$15*1000/12</f>
        <v>10338.137731868725</v>
      </c>
      <c r="AR19" s="405">
        <f>Feed!$G$15*1000/12</f>
        <v>10338.137731868725</v>
      </c>
      <c r="AS19" s="405">
        <f>Feed!$G$15*1000/12</f>
        <v>10338.137731868725</v>
      </c>
      <c r="AT19" s="405">
        <f>Feed!$G$15*1000/12</f>
        <v>10338.137731868725</v>
      </c>
      <c r="AU19" s="405">
        <f>Feed!$G$15*1000/12</f>
        <v>10338.137731868725</v>
      </c>
      <c r="AV19" s="405">
        <f>Feed!$G$15*1000/12</f>
        <v>10338.137731868725</v>
      </c>
      <c r="AW19" s="405">
        <f>Feed!$G$15*1000/12</f>
        <v>10338.137731868725</v>
      </c>
      <c r="AX19" s="405">
        <f>Feed!$G$15*1000/12</f>
        <v>10338.137731868725</v>
      </c>
      <c r="AY19" s="405">
        <f>Feed!$G$15*1000/12</f>
        <v>10338.137731868725</v>
      </c>
      <c r="AZ19" s="405">
        <f>Feed!$G$15*1000/12</f>
        <v>10338.137731868725</v>
      </c>
      <c r="BA19" s="405">
        <f>Feed!$G$15*1000/12</f>
        <v>10338.137731868725</v>
      </c>
      <c r="BB19" s="405">
        <f>Feed!$G$15*1000/12</f>
        <v>10338.137731868725</v>
      </c>
      <c r="BC19" s="405">
        <f>Feed!$G$15*1000/12</f>
        <v>10338.137731868725</v>
      </c>
      <c r="BD19" s="405">
        <f>Feed!$G$15*1000/12</f>
        <v>10338.137731868725</v>
      </c>
      <c r="BE19" s="405">
        <f>Feed!$G$15*1000/12</f>
        <v>10338.137731868725</v>
      </c>
      <c r="BF19" s="405">
        <f>Feed!$G$15*1000/12</f>
        <v>10338.137731868725</v>
      </c>
      <c r="BG19" s="405">
        <f>Feed!$G$15*1000/12</f>
        <v>10338.137731868725</v>
      </c>
      <c r="BH19" s="405">
        <f>Feed!$G$15*1000/12</f>
        <v>10338.137731868725</v>
      </c>
      <c r="BI19" s="405">
        <f>Feed!$G$15*1000/12</f>
        <v>10338.137731868725</v>
      </c>
      <c r="BJ19" s="405">
        <f>Feed!$G$15*1000/12</f>
        <v>10338.137731868725</v>
      </c>
      <c r="BK19" s="405">
        <f>Feed!$G$15*1000/12</f>
        <v>10338.137731868725</v>
      </c>
      <c r="BL19" s="405">
        <f>Feed!$G$15*1000/12</f>
        <v>10338.137731868725</v>
      </c>
      <c r="BM19" s="405">
        <f>Feed!$G$15*1000/12</f>
        <v>10338.137731868725</v>
      </c>
      <c r="BN19" s="405">
        <f>Feed!$G$15*1000/12</f>
        <v>10338.137731868725</v>
      </c>
      <c r="BO19" s="405">
        <f>Feed!$G$15*1000/12</f>
        <v>10338.137731868725</v>
      </c>
      <c r="BP19" s="405">
        <f>Feed!$G$15*1000/12</f>
        <v>10338.137731868725</v>
      </c>
      <c r="BQ19" s="405">
        <f>Feed!$G$15*1000/12</f>
        <v>10338.137731868725</v>
      </c>
      <c r="BR19" s="405">
        <f>Feed!$G$15*1000/12</f>
        <v>10338.137731868725</v>
      </c>
      <c r="BS19" s="405">
        <f>Feed!$G$15*1000/12</f>
        <v>10338.137731868725</v>
      </c>
      <c r="BT19" s="405">
        <f>Feed!$G$15*1000/12</f>
        <v>10338.137731868725</v>
      </c>
      <c r="BU19" s="405">
        <f>Feed!$G$15*1000/12</f>
        <v>10338.137731868725</v>
      </c>
      <c r="BV19" s="405">
        <f>Feed!$G$15*1000/12</f>
        <v>10338.137731868725</v>
      </c>
      <c r="BW19" s="405">
        <f>Feed!$G$15*1000/12</f>
        <v>10338.137731868725</v>
      </c>
      <c r="BX19" s="405">
        <f>Feed!$G$15*1000/12</f>
        <v>10338.137731868725</v>
      </c>
      <c r="BY19" s="405">
        <f>Feed!$G$15*1000/12</f>
        <v>10338.137731868725</v>
      </c>
      <c r="BZ19" s="405">
        <f>Feed!$G$15*1000/12</f>
        <v>10338.137731868725</v>
      </c>
      <c r="CA19" s="405">
        <f>Feed!$G$15*1000/12</f>
        <v>10338.137731868725</v>
      </c>
      <c r="CB19" s="405">
        <f>Feed!$G$15*1000/12</f>
        <v>10338.137731868725</v>
      </c>
      <c r="CC19" s="405">
        <f>Feed!$G$15*1000/12</f>
        <v>10338.137731868725</v>
      </c>
      <c r="CD19" s="405">
        <f>Feed!$G$15*1000/12</f>
        <v>10338.137731868725</v>
      </c>
      <c r="CE19" s="405">
        <f>Feed!$G$15*1000/12</f>
        <v>10338.137731868725</v>
      </c>
      <c r="CF19" s="405">
        <f>Feed!$G$15*1000/12</f>
        <v>10338.137731868725</v>
      </c>
      <c r="CG19" s="405">
        <f>Feed!$G$15*1000/12</f>
        <v>10338.137731868725</v>
      </c>
      <c r="CH19" s="405">
        <f>Feed!$G$15*1000/12</f>
        <v>10338.137731868725</v>
      </c>
      <c r="CI19" s="405">
        <f>Feed!$G$15*1000/12</f>
        <v>10338.137731868725</v>
      </c>
      <c r="CJ19" s="405">
        <f>Feed!$G$15*1000/12</f>
        <v>10338.137731868725</v>
      </c>
      <c r="CK19" s="405">
        <f>Feed!$G$15*1000/12</f>
        <v>10338.137731868725</v>
      </c>
      <c r="CL19" s="405">
        <f>Feed!$G$15*1000/12</f>
        <v>10338.137731868725</v>
      </c>
      <c r="CM19" s="405">
        <f t="shared" si="1"/>
        <v>10338.137731868741</v>
      </c>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row>
    <row r="20" spans="1:178">
      <c r="A20" s="1060"/>
      <c r="B20" s="2" t="s">
        <v>309</v>
      </c>
      <c r="C20" s="362" t="s">
        <v>310</v>
      </c>
      <c r="D20" s="362"/>
      <c r="E20" s="1063"/>
      <c r="F20" s="404" t="str">
        <f>F9</f>
        <v xml:space="preserve"> Hydrogenated Pygas (HPG) </v>
      </c>
      <c r="G20" s="405">
        <f>G12*'Cracker Yields'!$B$8+'Financial Model Prop. Fur. Add.'!G13*'Cracker Yields'!$C$8+'Financial Model Prop. Fur. Add.'!G14*'Cracker Yields'!$D$8+'Financial Model Prop. Fur. Add.'!G15*'Cracker Yields'!$E$8</f>
        <v>13282.571249999999</v>
      </c>
      <c r="H20" s="405">
        <f>H12*'Cracker Yields'!$B$8+'Financial Model Prop. Fur. Add.'!H13*'Cracker Yields'!$C$8+'Financial Model Prop. Fur. Add.'!H14*'Cracker Yields'!$D$8+'Financial Model Prop. Fur. Add.'!H15*'Cracker Yields'!$E$8</f>
        <v>13282.571249999999</v>
      </c>
      <c r="I20" s="405">
        <f>I12*'Cracker Yields'!$B$8+'Financial Model Prop. Fur. Add.'!I13*'Cracker Yields'!$C$8+'Financial Model Prop. Fur. Add.'!I14*'Cracker Yields'!$D$8+'Financial Model Prop. Fur. Add.'!I15*'Cracker Yields'!$E$8</f>
        <v>13282.571249999999</v>
      </c>
      <c r="J20" s="405">
        <f>J12*'Cracker Yields'!$B$8+'Financial Model Prop. Fur. Add.'!J13*'Cracker Yields'!$C$8+'Financial Model Prop. Fur. Add.'!J14*'Cracker Yields'!$D$8+'Financial Model Prop. Fur. Add.'!J15*'Cracker Yields'!$E$8</f>
        <v>13282.571249999999</v>
      </c>
      <c r="K20" s="405">
        <f>K12*'Cracker Yields'!$B$8+'Financial Model Prop. Fur. Add.'!K13*'Cracker Yields'!$C$8+'Financial Model Prop. Fur. Add.'!K14*'Cracker Yields'!$D$8+'Financial Model Prop. Fur. Add.'!K15*'Cracker Yields'!$E$8</f>
        <v>13282.571249999999</v>
      </c>
      <c r="L20" s="405">
        <f>L12*'Cracker Yields'!$B$8+'Financial Model Prop. Fur. Add.'!L13*'Cracker Yields'!$C$8+'Financial Model Prop. Fur. Add.'!L14*'Cracker Yields'!$D$8+'Financial Model Prop. Fur. Add.'!L15*'Cracker Yields'!$E$8</f>
        <v>13282.571249999999</v>
      </c>
      <c r="M20" s="405">
        <f>M12*'Cracker Yields'!$B$8+'Financial Model Prop. Fur. Add.'!M13*'Cracker Yields'!$C$8+'Financial Model Prop. Fur. Add.'!M14*'Cracker Yields'!$D$8+'Financial Model Prop. Fur. Add.'!M15*'Cracker Yields'!$E$8</f>
        <v>13282.571249999999</v>
      </c>
      <c r="N20" s="405">
        <f>N12*'Cracker Yields'!$B$8+'Financial Model Prop. Fur. Add.'!N13*'Cracker Yields'!$C$8+'Financial Model Prop. Fur. Add.'!N14*'Cracker Yields'!$D$8+'Financial Model Prop. Fur. Add.'!N15*'Cracker Yields'!$E$8</f>
        <v>13282.571249999999</v>
      </c>
      <c r="O20" s="405">
        <f>O12*'Cracker Yields'!$B$8+'Financial Model Prop. Fur. Add.'!O13*'Cracker Yields'!$C$8+'Financial Model Prop. Fur. Add.'!O14*'Cracker Yields'!$D$8+'Financial Model Prop. Fur. Add.'!O15*'Cracker Yields'!$E$8</f>
        <v>13282.571249999999</v>
      </c>
      <c r="P20" s="405">
        <f>P12*'Cracker Yields'!$B$8+'Financial Model Prop. Fur. Add.'!P13*'Cracker Yields'!$C$8+'Financial Model Prop. Fur. Add.'!P14*'Cracker Yields'!$D$8+'Financial Model Prop. Fur. Add.'!P15*'Cracker Yields'!$E$8</f>
        <v>13282.571249999999</v>
      </c>
      <c r="Q20" s="405">
        <f>Q12*'Cracker Yields'!$B$8+'Financial Model Prop. Fur. Add.'!Q13*'Cracker Yields'!$C$8+'Financial Model Prop. Fur. Add.'!Q14*'Cracker Yields'!$D$8+'Financial Model Prop. Fur. Add.'!Q15*'Cracker Yields'!$E$8</f>
        <v>13282.571249999999</v>
      </c>
      <c r="R20" s="405">
        <f>R12*'Cracker Yields'!$B$8+'Financial Model Prop. Fur. Add.'!R13*'Cracker Yields'!$C$8+'Financial Model Prop. Fur. Add.'!R14*'Cracker Yields'!$D$8+'Financial Model Prop. Fur. Add.'!R15*'Cracker Yields'!$E$8</f>
        <v>13282.571249999999</v>
      </c>
      <c r="S20" s="405">
        <f>S12*'Cracker Yields'!$B$8+'Financial Model Prop. Fur. Add.'!S13*'Cracker Yields'!$C$8+'Financial Model Prop. Fur. Add.'!S14*'Cracker Yields'!$D$8+'Financial Model Prop. Fur. Add.'!S15*'Cracker Yields'!$E$8</f>
        <v>13282.571249999999</v>
      </c>
      <c r="T20" s="405">
        <f>T12*'Cracker Yields'!$B$8+'Financial Model Prop. Fur. Add.'!T13*'Cracker Yields'!$C$8+'Financial Model Prop. Fur. Add.'!T14*'Cracker Yields'!$D$8+'Financial Model Prop. Fur. Add.'!T15*'Cracker Yields'!$E$8</f>
        <v>13282.571249999999</v>
      </c>
      <c r="U20" s="405">
        <f>U12*'Cracker Yields'!$B$8+'Financial Model Prop. Fur. Add.'!U13*'Cracker Yields'!$C$8+'Financial Model Prop. Fur. Add.'!U14*'Cracker Yields'!$D$8+'Financial Model Prop. Fur. Add.'!U15*'Cracker Yields'!$E$8</f>
        <v>13282.571249999999</v>
      </c>
      <c r="V20" s="405">
        <f>V12*'Cracker Yields'!$B$8+'Financial Model Prop. Fur. Add.'!V13*'Cracker Yields'!$C$8+'Financial Model Prop. Fur. Add.'!V14*'Cracker Yields'!$D$8+'Financial Model Prop. Fur. Add.'!V15*'Cracker Yields'!$E$8</f>
        <v>13282.571249999999</v>
      </c>
      <c r="W20" s="405">
        <f>W12*'Cracker Yields'!$B$8+'Financial Model Prop. Fur. Add.'!W13*'Cracker Yields'!$C$8+'Financial Model Prop. Fur. Add.'!W14*'Cracker Yields'!$D$8+'Financial Model Prop. Fur. Add.'!W15*'Cracker Yields'!$E$8</f>
        <v>13282.571249999999</v>
      </c>
      <c r="X20" s="405">
        <f>X12*'Cracker Yields'!$B$8+'Financial Model Prop. Fur. Add.'!X13*'Cracker Yields'!$C$8+'Financial Model Prop. Fur. Add.'!X14*'Cracker Yields'!$D$8+'Financial Model Prop. Fur. Add.'!X15*'Cracker Yields'!$E$8</f>
        <v>13282.571249999999</v>
      </c>
      <c r="Y20" s="405">
        <f>Y12*'Cracker Yields'!$B$8+'Financial Model Prop. Fur. Add.'!Y13*'Cracker Yields'!$C$8+'Financial Model Prop. Fur. Add.'!Y14*'Cracker Yields'!$D$8+'Financial Model Prop. Fur. Add.'!Y15*'Cracker Yields'!$E$8</f>
        <v>13282.571249999999</v>
      </c>
      <c r="Z20" s="405">
        <f>Z12*'Cracker Yields'!$B$8+'Financial Model Prop. Fur. Add.'!Z13*'Cracker Yields'!$C$8+'Financial Model Prop. Fur. Add.'!Z14*'Cracker Yields'!$D$8+'Financial Model Prop. Fur. Add.'!Z15*'Cracker Yields'!$E$8</f>
        <v>13282.571249999999</v>
      </c>
      <c r="AA20" s="405">
        <f>AA12*'Cracker Yields'!$B$8+'Financial Model Prop. Fur. Add.'!AA13*'Cracker Yields'!$C$8+'Financial Model Prop. Fur. Add.'!AA14*'Cracker Yields'!$D$8+'Financial Model Prop. Fur. Add.'!AA15*'Cracker Yields'!$E$8</f>
        <v>13282.571249999999</v>
      </c>
      <c r="AB20" s="405">
        <f>AB12*'Cracker Yields'!$B$8+'Financial Model Prop. Fur. Add.'!AB13*'Cracker Yields'!$C$8+'Financial Model Prop. Fur. Add.'!AB14*'Cracker Yields'!$D$8+'Financial Model Prop. Fur. Add.'!AB15*'Cracker Yields'!$E$8</f>
        <v>13282.571249999999</v>
      </c>
      <c r="AC20" s="405">
        <f>AC12*'Cracker Yields'!$B$8+'Financial Model Prop. Fur. Add.'!AC13*'Cracker Yields'!$C$8+'Financial Model Prop. Fur. Add.'!AC14*'Cracker Yields'!$D$8+'Financial Model Prop. Fur. Add.'!AC15*'Cracker Yields'!$E$8</f>
        <v>13282.571249999999</v>
      </c>
      <c r="AD20" s="405">
        <f>AD12*'Cracker Yields'!$B$8+'Financial Model Prop. Fur. Add.'!AD13*'Cracker Yields'!$C$8+'Financial Model Prop. Fur. Add.'!AD14*'Cracker Yields'!$D$8+'Financial Model Prop. Fur. Add.'!AD15*'Cracker Yields'!$E$8</f>
        <v>13282.571249999999</v>
      </c>
      <c r="AE20" s="405">
        <f>AE12*'Cracker Yields'!$B$8+'Financial Model Prop. Fur. Add.'!AE13*'Cracker Yields'!$C$8+'Financial Model Prop. Fur. Add.'!AE14*'Cracker Yields'!$D$8+'Financial Model Prop. Fur. Add.'!AE15*'Cracker Yields'!$E$8</f>
        <v>13282.571249999999</v>
      </c>
      <c r="AF20" s="405">
        <f>AF12*'Cracker Yields'!$B$8+'Financial Model Prop. Fur. Add.'!AF13*'Cracker Yields'!$C$8+'Financial Model Prop. Fur. Add.'!AF14*'Cracker Yields'!$D$8+'Financial Model Prop. Fur. Add.'!AF15*'Cracker Yields'!$E$8</f>
        <v>13282.571249999999</v>
      </c>
      <c r="AG20" s="405">
        <f>AG12*'Cracker Yields'!$B$8+'Financial Model Prop. Fur. Add.'!AG13*'Cracker Yields'!$C$8+'Financial Model Prop. Fur. Add.'!AG14*'Cracker Yields'!$D$8+'Financial Model Prop. Fur. Add.'!AG15*'Cracker Yields'!$E$8</f>
        <v>13282.571249999999</v>
      </c>
      <c r="AH20" s="405">
        <f>AH12*'Cracker Yields'!$B$8+'Financial Model Prop. Fur. Add.'!AH13*'Cracker Yields'!$C$8+'Financial Model Prop. Fur. Add.'!AH14*'Cracker Yields'!$D$8+'Financial Model Prop. Fur. Add.'!AH15*'Cracker Yields'!$E$8</f>
        <v>13282.571249999999</v>
      </c>
      <c r="AI20" s="405">
        <f>AI12*'Cracker Yields'!$B$8+'Financial Model Prop. Fur. Add.'!AI13*'Cracker Yields'!$C$8+'Financial Model Prop. Fur. Add.'!AI14*'Cracker Yields'!$D$8+'Financial Model Prop. Fur. Add.'!AI15*'Cracker Yields'!$E$8</f>
        <v>13282.571249999999</v>
      </c>
      <c r="AJ20" s="405">
        <f>AJ12*'Cracker Yields'!$B$8+'Financial Model Prop. Fur. Add.'!AJ13*'Cracker Yields'!$C$8+'Financial Model Prop. Fur. Add.'!AJ14*'Cracker Yields'!$D$8+'Financial Model Prop. Fur. Add.'!AJ15*'Cracker Yields'!$E$8</f>
        <v>13282.571249999999</v>
      </c>
      <c r="AK20" s="405">
        <f>AK12*'Cracker Yields'!$B$8+'Financial Model Prop. Fur. Add.'!AK13*'Cracker Yields'!$C$8+'Financial Model Prop. Fur. Add.'!AK14*'Cracker Yields'!$D$8+'Financial Model Prop. Fur. Add.'!AK15*'Cracker Yields'!$E$8</f>
        <v>13282.571249999999</v>
      </c>
      <c r="AL20" s="405">
        <f>AL12*'Cracker Yields'!$B$8+'Financial Model Prop. Fur. Add.'!AL13*'Cracker Yields'!$C$8+'Financial Model Prop. Fur. Add.'!AL14*'Cracker Yields'!$D$8+'Financial Model Prop. Fur. Add.'!AL15*'Cracker Yields'!$E$8</f>
        <v>13282.571249999999</v>
      </c>
      <c r="AM20" s="405">
        <f>AM12*'Cracker Yields'!$B$8+'Financial Model Prop. Fur. Add.'!AM13*'Cracker Yields'!$C$8+'Financial Model Prop. Fur. Add.'!AM14*'Cracker Yields'!$D$8+'Financial Model Prop. Fur. Add.'!AM15*'Cracker Yields'!$E$8</f>
        <v>13282.571249999999</v>
      </c>
      <c r="AN20" s="405">
        <f>AN12*'Cracker Yields'!$B$8+'Financial Model Prop. Fur. Add.'!AN13*'Cracker Yields'!$C$8+'Financial Model Prop. Fur. Add.'!AN14*'Cracker Yields'!$D$8+'Financial Model Prop. Fur. Add.'!AN15*'Cracker Yields'!$E$8</f>
        <v>13282.571249999999</v>
      </c>
      <c r="AO20" s="405">
        <f>AO12*'Cracker Yields'!$B$8+'Financial Model Prop. Fur. Add.'!AO13*'Cracker Yields'!$C$8+'Financial Model Prop. Fur. Add.'!AO14*'Cracker Yields'!$D$8+'Financial Model Prop. Fur. Add.'!AO15*'Cracker Yields'!$E$8</f>
        <v>13282.571249999999</v>
      </c>
      <c r="AP20" s="405">
        <f>AP12*'Cracker Yields'!$B$8+'Financial Model Prop. Fur. Add.'!AP13*'Cracker Yields'!$C$8+'Financial Model Prop. Fur. Add.'!AP14*'Cracker Yields'!$D$8+'Financial Model Prop. Fur. Add.'!AP15*'Cracker Yields'!$E$8</f>
        <v>13282.571249999999</v>
      </c>
      <c r="AQ20" s="405">
        <f>AQ12*'Cracker Yields'!$B$8+'Financial Model Prop. Fur. Add.'!AQ13*'Cracker Yields'!$C$8+'Financial Model Prop. Fur. Add.'!AQ14*'Cracker Yields'!$D$8+'Financial Model Prop. Fur. Add.'!AQ15*'Cracker Yields'!$E$8</f>
        <v>13282.571249999999</v>
      </c>
      <c r="AR20" s="405">
        <f>AR12*'Cracker Yields'!$B$8+'Financial Model Prop. Fur. Add.'!AR13*'Cracker Yields'!$C$8+'Financial Model Prop. Fur. Add.'!AR14*'Cracker Yields'!$D$8+'Financial Model Prop. Fur. Add.'!AR15*'Cracker Yields'!$E$8</f>
        <v>13282.571249999999</v>
      </c>
      <c r="AS20" s="405">
        <f>AS12*'Cracker Yields'!$B$8+'Financial Model Prop. Fur. Add.'!AS13*'Cracker Yields'!$C$8+'Financial Model Prop. Fur. Add.'!AS14*'Cracker Yields'!$D$8+'Financial Model Prop. Fur. Add.'!AS15*'Cracker Yields'!$E$8</f>
        <v>13282.571249999999</v>
      </c>
      <c r="AT20" s="405">
        <f>AT12*'Cracker Yields'!$B$8+'Financial Model Prop. Fur. Add.'!AT13*'Cracker Yields'!$C$8+'Financial Model Prop. Fur. Add.'!AT14*'Cracker Yields'!$D$8+'Financial Model Prop. Fur. Add.'!AT15*'Cracker Yields'!$E$8</f>
        <v>13282.571249999999</v>
      </c>
      <c r="AU20" s="405">
        <f>AU12*'Cracker Yields'!$B$8+'Financial Model Prop. Fur. Add.'!AU13*'Cracker Yields'!$C$8+'Financial Model Prop. Fur. Add.'!AU14*'Cracker Yields'!$D$8+'Financial Model Prop. Fur. Add.'!AU15*'Cracker Yields'!$E$8</f>
        <v>13282.571249999999</v>
      </c>
      <c r="AV20" s="405">
        <f>AV12*'Cracker Yields'!$B$8+'Financial Model Prop. Fur. Add.'!AV13*'Cracker Yields'!$C$8+'Financial Model Prop. Fur. Add.'!AV14*'Cracker Yields'!$D$8+'Financial Model Prop. Fur. Add.'!AV15*'Cracker Yields'!$E$8</f>
        <v>13282.571249999999</v>
      </c>
      <c r="AW20" s="405">
        <f>AW12*'Cracker Yields'!$B$8+'Financial Model Prop. Fur. Add.'!AW13*'Cracker Yields'!$C$8+'Financial Model Prop. Fur. Add.'!AW14*'Cracker Yields'!$D$8+'Financial Model Prop. Fur. Add.'!AW15*'Cracker Yields'!$E$8</f>
        <v>13282.571249999999</v>
      </c>
      <c r="AX20" s="405">
        <f>AX12*'Cracker Yields'!$B$8+'Financial Model Prop. Fur. Add.'!AX13*'Cracker Yields'!$C$8+'Financial Model Prop. Fur. Add.'!AX14*'Cracker Yields'!$D$8+'Financial Model Prop. Fur. Add.'!AX15*'Cracker Yields'!$E$8</f>
        <v>13282.571249999999</v>
      </c>
      <c r="AY20" s="405">
        <f>AY12*'Cracker Yields'!$B$8+'Financial Model Prop. Fur. Add.'!AY13*'Cracker Yields'!$C$8+'Financial Model Prop. Fur. Add.'!AY14*'Cracker Yields'!$D$8+'Financial Model Prop. Fur. Add.'!AY15*'Cracker Yields'!$E$8</f>
        <v>13282.571249999999</v>
      </c>
      <c r="AZ20" s="405">
        <f>AZ12*'Cracker Yields'!$B$8+'Financial Model Prop. Fur. Add.'!AZ13*'Cracker Yields'!$C$8+'Financial Model Prop. Fur. Add.'!AZ14*'Cracker Yields'!$D$8+'Financial Model Prop. Fur. Add.'!AZ15*'Cracker Yields'!$E$8</f>
        <v>13282.571249999999</v>
      </c>
      <c r="BA20" s="405">
        <f>BA12*'Cracker Yields'!$B$8+'Financial Model Prop. Fur. Add.'!BA13*'Cracker Yields'!$C$8+'Financial Model Prop. Fur. Add.'!BA14*'Cracker Yields'!$D$8+'Financial Model Prop. Fur. Add.'!BA15*'Cracker Yields'!$E$8</f>
        <v>13282.571249999999</v>
      </c>
      <c r="BB20" s="405">
        <f>BB12*'Cracker Yields'!$B$8+'Financial Model Prop. Fur. Add.'!BB13*'Cracker Yields'!$C$8+'Financial Model Prop. Fur. Add.'!BB14*'Cracker Yields'!$D$8+'Financial Model Prop. Fur. Add.'!BB15*'Cracker Yields'!$E$8</f>
        <v>13282.571249999999</v>
      </c>
      <c r="BC20" s="405">
        <f>BC12*'Cracker Yields'!$B$8+'Financial Model Prop. Fur. Add.'!BC13*'Cracker Yields'!$C$8+'Financial Model Prop. Fur. Add.'!BC14*'Cracker Yields'!$D$8+'Financial Model Prop. Fur. Add.'!BC15*'Cracker Yields'!$E$8</f>
        <v>13282.571249999999</v>
      </c>
      <c r="BD20" s="405">
        <f>BD12*'Cracker Yields'!$B$8+'Financial Model Prop. Fur. Add.'!BD13*'Cracker Yields'!$C$8+'Financial Model Prop. Fur. Add.'!BD14*'Cracker Yields'!$D$8+'Financial Model Prop. Fur. Add.'!BD15*'Cracker Yields'!$E$8</f>
        <v>13282.571249999999</v>
      </c>
      <c r="BE20" s="405">
        <f>BE12*'Cracker Yields'!$B$8+'Financial Model Prop. Fur. Add.'!BE13*'Cracker Yields'!$C$8+'Financial Model Prop. Fur. Add.'!BE14*'Cracker Yields'!$D$8+'Financial Model Prop. Fur. Add.'!BE15*'Cracker Yields'!$E$8</f>
        <v>13282.571249999999</v>
      </c>
      <c r="BF20" s="405">
        <f>BF12*'Cracker Yields'!$B$8+'Financial Model Prop. Fur. Add.'!BF13*'Cracker Yields'!$C$8+'Financial Model Prop. Fur. Add.'!BF14*'Cracker Yields'!$D$8+'Financial Model Prop. Fur. Add.'!BF15*'Cracker Yields'!$E$8</f>
        <v>13282.571249999999</v>
      </c>
      <c r="BG20" s="405">
        <f>BG12*'Cracker Yields'!$B$8+'Financial Model Prop. Fur. Add.'!BG13*'Cracker Yields'!$C$8+'Financial Model Prop. Fur. Add.'!BG14*'Cracker Yields'!$D$8+'Financial Model Prop. Fur. Add.'!BG15*'Cracker Yields'!$E$8</f>
        <v>13282.571249999999</v>
      </c>
      <c r="BH20" s="405">
        <f>BH12*'Cracker Yields'!$B$8+'Financial Model Prop. Fur. Add.'!BH13*'Cracker Yields'!$C$8+'Financial Model Prop. Fur. Add.'!BH14*'Cracker Yields'!$D$8+'Financial Model Prop. Fur. Add.'!BH15*'Cracker Yields'!$E$8</f>
        <v>13282.571249999999</v>
      </c>
      <c r="BI20" s="405">
        <f>BI12*'Cracker Yields'!$B$8+'Financial Model Prop. Fur. Add.'!BI13*'Cracker Yields'!$C$8+'Financial Model Prop. Fur. Add.'!BI14*'Cracker Yields'!$D$8+'Financial Model Prop. Fur. Add.'!BI15*'Cracker Yields'!$E$8</f>
        <v>13282.571249999999</v>
      </c>
      <c r="BJ20" s="405">
        <f>BJ12*'Cracker Yields'!$B$8+'Financial Model Prop. Fur. Add.'!BJ13*'Cracker Yields'!$C$8+'Financial Model Prop. Fur. Add.'!BJ14*'Cracker Yields'!$D$8+'Financial Model Prop. Fur. Add.'!BJ15*'Cracker Yields'!$E$8</f>
        <v>13282.571249999999</v>
      </c>
      <c r="BK20" s="405">
        <f>BK12*'Cracker Yields'!$B$8+'Financial Model Prop. Fur. Add.'!BK13*'Cracker Yields'!$C$8+'Financial Model Prop. Fur. Add.'!BK14*'Cracker Yields'!$D$8+'Financial Model Prop. Fur. Add.'!BK15*'Cracker Yields'!$E$8</f>
        <v>13282.571249999999</v>
      </c>
      <c r="BL20" s="405">
        <f>BL12*'Cracker Yields'!$B$8+'Financial Model Prop. Fur. Add.'!BL13*'Cracker Yields'!$C$8+'Financial Model Prop. Fur. Add.'!BL14*'Cracker Yields'!$D$8+'Financial Model Prop. Fur. Add.'!BL15*'Cracker Yields'!$E$8</f>
        <v>13282.571249999999</v>
      </c>
      <c r="BM20" s="405">
        <f>BM12*'Cracker Yields'!$B$8+'Financial Model Prop. Fur. Add.'!BM13*'Cracker Yields'!$C$8+'Financial Model Prop. Fur. Add.'!BM14*'Cracker Yields'!$D$8+'Financial Model Prop. Fur. Add.'!BM15*'Cracker Yields'!$E$8</f>
        <v>13282.571249999999</v>
      </c>
      <c r="BN20" s="405">
        <f>BN12*'Cracker Yields'!$B$8+'Financial Model Prop. Fur. Add.'!BN13*'Cracker Yields'!$C$8+'Financial Model Prop. Fur. Add.'!BN14*'Cracker Yields'!$D$8+'Financial Model Prop. Fur. Add.'!BN15*'Cracker Yields'!$E$8</f>
        <v>13282.571249999999</v>
      </c>
      <c r="BO20" s="405">
        <f>BO12*'Cracker Yields'!$B$8+'Financial Model Prop. Fur. Add.'!BO13*'Cracker Yields'!$C$8+'Financial Model Prop. Fur. Add.'!BO14*'Cracker Yields'!$D$8+'Financial Model Prop. Fur. Add.'!BO15*'Cracker Yields'!$E$8</f>
        <v>13282.571249999999</v>
      </c>
      <c r="BP20" s="405">
        <f>BP12*'Cracker Yields'!$B$8+'Financial Model Prop. Fur. Add.'!BP13*'Cracker Yields'!$C$8+'Financial Model Prop. Fur. Add.'!BP14*'Cracker Yields'!$D$8+'Financial Model Prop. Fur. Add.'!BP15*'Cracker Yields'!$E$8</f>
        <v>13282.571249999999</v>
      </c>
      <c r="BQ20" s="405">
        <f>BQ12*'Cracker Yields'!$B$8+'Financial Model Prop. Fur. Add.'!BQ13*'Cracker Yields'!$C$8+'Financial Model Prop. Fur. Add.'!BQ14*'Cracker Yields'!$D$8+'Financial Model Prop. Fur. Add.'!BQ15*'Cracker Yields'!$E$8</f>
        <v>13282.571249999999</v>
      </c>
      <c r="BR20" s="405">
        <f>BR12*'Cracker Yields'!$B$8+'Financial Model Prop. Fur. Add.'!BR13*'Cracker Yields'!$C$8+'Financial Model Prop. Fur. Add.'!BR14*'Cracker Yields'!$D$8+'Financial Model Prop. Fur. Add.'!BR15*'Cracker Yields'!$E$8</f>
        <v>13282.571249999999</v>
      </c>
      <c r="BS20" s="405">
        <f>BS12*'Cracker Yields'!$B$8+'Financial Model Prop. Fur. Add.'!BS13*'Cracker Yields'!$C$8+'Financial Model Prop. Fur. Add.'!BS14*'Cracker Yields'!$D$8+'Financial Model Prop. Fur. Add.'!BS15*'Cracker Yields'!$E$8</f>
        <v>13282.571249999999</v>
      </c>
      <c r="BT20" s="405">
        <f>BT12*'Cracker Yields'!$B$8+'Financial Model Prop. Fur. Add.'!BT13*'Cracker Yields'!$C$8+'Financial Model Prop. Fur. Add.'!BT14*'Cracker Yields'!$D$8+'Financial Model Prop. Fur. Add.'!BT15*'Cracker Yields'!$E$8</f>
        <v>13282.571249999999</v>
      </c>
      <c r="BU20" s="405">
        <f>BU12*'Cracker Yields'!$B$8+'Financial Model Prop. Fur. Add.'!BU13*'Cracker Yields'!$C$8+'Financial Model Prop. Fur. Add.'!BU14*'Cracker Yields'!$D$8+'Financial Model Prop. Fur. Add.'!BU15*'Cracker Yields'!$E$8</f>
        <v>13282.571249999999</v>
      </c>
      <c r="BV20" s="405">
        <f>BV12*'Cracker Yields'!$B$8+'Financial Model Prop. Fur. Add.'!BV13*'Cracker Yields'!$C$8+'Financial Model Prop. Fur. Add.'!BV14*'Cracker Yields'!$D$8+'Financial Model Prop. Fur. Add.'!BV15*'Cracker Yields'!$E$8</f>
        <v>13282.571249999999</v>
      </c>
      <c r="BW20" s="405">
        <f>BW12*'Cracker Yields'!$B$8+'Financial Model Prop. Fur. Add.'!BW13*'Cracker Yields'!$C$8+'Financial Model Prop. Fur. Add.'!BW14*'Cracker Yields'!$D$8+'Financial Model Prop. Fur. Add.'!BW15*'Cracker Yields'!$E$8</f>
        <v>13282.571249999999</v>
      </c>
      <c r="BX20" s="405">
        <f>BX12*'Cracker Yields'!$B$8+'Financial Model Prop. Fur. Add.'!BX13*'Cracker Yields'!$C$8+'Financial Model Prop. Fur. Add.'!BX14*'Cracker Yields'!$D$8+'Financial Model Prop. Fur. Add.'!BX15*'Cracker Yields'!$E$8</f>
        <v>13282.571249999999</v>
      </c>
      <c r="BY20" s="405">
        <f>BY12*'Cracker Yields'!$B$8+'Financial Model Prop. Fur. Add.'!BY13*'Cracker Yields'!$C$8+'Financial Model Prop. Fur. Add.'!BY14*'Cracker Yields'!$D$8+'Financial Model Prop. Fur. Add.'!BY15*'Cracker Yields'!$E$8</f>
        <v>13282.571249999999</v>
      </c>
      <c r="BZ20" s="405">
        <f>BZ12*'Cracker Yields'!$B$8+'Financial Model Prop. Fur. Add.'!BZ13*'Cracker Yields'!$C$8+'Financial Model Prop. Fur. Add.'!BZ14*'Cracker Yields'!$D$8+'Financial Model Prop. Fur. Add.'!BZ15*'Cracker Yields'!$E$8</f>
        <v>13282.571249999999</v>
      </c>
      <c r="CA20" s="405">
        <f>CA12*'Cracker Yields'!$B$8+'Financial Model Prop. Fur. Add.'!CA13*'Cracker Yields'!$C$8+'Financial Model Prop. Fur. Add.'!CA14*'Cracker Yields'!$D$8+'Financial Model Prop. Fur. Add.'!CA15*'Cracker Yields'!$E$8</f>
        <v>13282.571249999999</v>
      </c>
      <c r="CB20" s="405">
        <f>CB12*'Cracker Yields'!$B$8+'Financial Model Prop. Fur. Add.'!CB13*'Cracker Yields'!$C$8+'Financial Model Prop. Fur. Add.'!CB14*'Cracker Yields'!$D$8+'Financial Model Prop. Fur. Add.'!CB15*'Cracker Yields'!$E$8</f>
        <v>13282.571249999999</v>
      </c>
      <c r="CC20" s="405">
        <f>CC12*'Cracker Yields'!$B$8+'Financial Model Prop. Fur. Add.'!CC13*'Cracker Yields'!$C$8+'Financial Model Prop. Fur. Add.'!CC14*'Cracker Yields'!$D$8+'Financial Model Prop. Fur. Add.'!CC15*'Cracker Yields'!$E$8</f>
        <v>13282.571249999999</v>
      </c>
      <c r="CD20" s="405">
        <f>CD12*'Cracker Yields'!$B$8+'Financial Model Prop. Fur. Add.'!CD13*'Cracker Yields'!$C$8+'Financial Model Prop. Fur. Add.'!CD14*'Cracker Yields'!$D$8+'Financial Model Prop. Fur. Add.'!CD15*'Cracker Yields'!$E$8</f>
        <v>13282.571249999999</v>
      </c>
      <c r="CE20" s="405">
        <f>CE12*'Cracker Yields'!$B$8+'Financial Model Prop. Fur. Add.'!CE13*'Cracker Yields'!$C$8+'Financial Model Prop. Fur. Add.'!CE14*'Cracker Yields'!$D$8+'Financial Model Prop. Fur. Add.'!CE15*'Cracker Yields'!$E$8</f>
        <v>13282.571249999999</v>
      </c>
      <c r="CF20" s="405">
        <f>CF12*'Cracker Yields'!$B$8+'Financial Model Prop. Fur. Add.'!CF13*'Cracker Yields'!$C$8+'Financial Model Prop. Fur. Add.'!CF14*'Cracker Yields'!$D$8+'Financial Model Prop. Fur. Add.'!CF15*'Cracker Yields'!$E$8</f>
        <v>13282.571249999999</v>
      </c>
      <c r="CG20" s="405">
        <f>CG12*'Cracker Yields'!$B$8+'Financial Model Prop. Fur. Add.'!CG13*'Cracker Yields'!$C$8+'Financial Model Prop. Fur. Add.'!CG14*'Cracker Yields'!$D$8+'Financial Model Prop. Fur. Add.'!CG15*'Cracker Yields'!$E$8</f>
        <v>13282.571249999999</v>
      </c>
      <c r="CH20" s="405">
        <f>CH12*'Cracker Yields'!$B$8+'Financial Model Prop. Fur. Add.'!CH13*'Cracker Yields'!$C$8+'Financial Model Prop. Fur. Add.'!CH14*'Cracker Yields'!$D$8+'Financial Model Prop. Fur. Add.'!CH15*'Cracker Yields'!$E$8</f>
        <v>13282.571249999999</v>
      </c>
      <c r="CI20" s="405">
        <f>CI12*'Cracker Yields'!$B$8+'Financial Model Prop. Fur. Add.'!CI13*'Cracker Yields'!$C$8+'Financial Model Prop. Fur. Add.'!CI14*'Cracker Yields'!$D$8+'Financial Model Prop. Fur. Add.'!CI15*'Cracker Yields'!$E$8</f>
        <v>13282.571249999999</v>
      </c>
      <c r="CJ20" s="405">
        <f>CJ12*'Cracker Yields'!$B$8+'Financial Model Prop. Fur. Add.'!CJ13*'Cracker Yields'!$C$8+'Financial Model Prop. Fur. Add.'!CJ14*'Cracker Yields'!$D$8+'Financial Model Prop. Fur. Add.'!CJ15*'Cracker Yields'!$E$8</f>
        <v>13282.571249999999</v>
      </c>
      <c r="CK20" s="405">
        <f>CK12*'Cracker Yields'!$B$8+'Financial Model Prop. Fur. Add.'!CK13*'Cracker Yields'!$C$8+'Financial Model Prop. Fur. Add.'!CK14*'Cracker Yields'!$D$8+'Financial Model Prop. Fur. Add.'!CK15*'Cracker Yields'!$E$8</f>
        <v>13282.571249999999</v>
      </c>
      <c r="CL20" s="405">
        <f>CL12*'Cracker Yields'!$B$8+'Financial Model Prop. Fur. Add.'!CL13*'Cracker Yields'!$C$8+'Financial Model Prop. Fur. Add.'!CL14*'Cracker Yields'!$D$8+'Financial Model Prop. Fur. Add.'!CL15*'Cracker Yields'!$E$8</f>
        <v>13282.571249999999</v>
      </c>
      <c r="CM20" s="41">
        <f t="shared" si="1"/>
        <v>13282.571250000015</v>
      </c>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row>
    <row r="21" spans="1:178">
      <c r="A21" s="1060"/>
      <c r="B21" s="2" t="s">
        <v>309</v>
      </c>
      <c r="C21" s="362" t="s">
        <v>310</v>
      </c>
      <c r="D21" s="362"/>
      <c r="E21" s="1063"/>
      <c r="F21" s="404" t="str">
        <f>F10</f>
        <v xml:space="preserve"> CBFS </v>
      </c>
      <c r="G21" s="405">
        <f>G12*'Cracker Yields'!$B$5+'Financial Model Prop. Fur. Add.'!G13*'Cracker Yields'!$C$5+'Financial Model Prop. Fur. Add.'!G14*'Cracker Yields'!$D$5+'Financial Model Prop. Fur. Add.'!G15*'Cracker Yields'!$E$5</f>
        <v>5612.5166666666664</v>
      </c>
      <c r="H21" s="405">
        <f>H12*'Cracker Yields'!$B$5+'Financial Model Prop. Fur. Add.'!H13*'Cracker Yields'!$C$5+'Financial Model Prop. Fur. Add.'!H14*'Cracker Yields'!$D$5+'Financial Model Prop. Fur. Add.'!H15*'Cracker Yields'!$E$5</f>
        <v>5612.5166666666664</v>
      </c>
      <c r="I21" s="405">
        <f>I12*'Cracker Yields'!$B$5+'Financial Model Prop. Fur. Add.'!I13*'Cracker Yields'!$C$5+'Financial Model Prop. Fur. Add.'!I14*'Cracker Yields'!$D$5+'Financial Model Prop. Fur. Add.'!I15*'Cracker Yields'!$E$5</f>
        <v>5612.5166666666664</v>
      </c>
      <c r="J21" s="405">
        <f>J12*'Cracker Yields'!$B$5+'Financial Model Prop. Fur. Add.'!J13*'Cracker Yields'!$C$5+'Financial Model Prop. Fur. Add.'!J14*'Cracker Yields'!$D$5+'Financial Model Prop. Fur. Add.'!J15*'Cracker Yields'!$E$5</f>
        <v>5612.5166666666664</v>
      </c>
      <c r="K21" s="405">
        <f>K12*'Cracker Yields'!$B$5+'Financial Model Prop. Fur. Add.'!K13*'Cracker Yields'!$C$5+'Financial Model Prop. Fur. Add.'!K14*'Cracker Yields'!$D$5+'Financial Model Prop. Fur. Add.'!K15*'Cracker Yields'!$E$5</f>
        <v>5612.5166666666664</v>
      </c>
      <c r="L21" s="405">
        <f>L12*'Cracker Yields'!$B$5+'Financial Model Prop. Fur. Add.'!L13*'Cracker Yields'!$C$5+'Financial Model Prop. Fur. Add.'!L14*'Cracker Yields'!$D$5+'Financial Model Prop. Fur. Add.'!L15*'Cracker Yields'!$E$5</f>
        <v>5612.5166666666664</v>
      </c>
      <c r="M21" s="405">
        <f>M12*'Cracker Yields'!$B$5+'Financial Model Prop. Fur. Add.'!M13*'Cracker Yields'!$C$5+'Financial Model Prop. Fur. Add.'!M14*'Cracker Yields'!$D$5+'Financial Model Prop. Fur. Add.'!M15*'Cracker Yields'!$E$5</f>
        <v>5612.5166666666664</v>
      </c>
      <c r="N21" s="405">
        <f>N12*'Cracker Yields'!$B$5+'Financial Model Prop. Fur. Add.'!N13*'Cracker Yields'!$C$5+'Financial Model Prop. Fur. Add.'!N14*'Cracker Yields'!$D$5+'Financial Model Prop. Fur. Add.'!N15*'Cracker Yields'!$E$5</f>
        <v>5612.5166666666664</v>
      </c>
      <c r="O21" s="405">
        <f>O12*'Cracker Yields'!$B$5+'Financial Model Prop. Fur. Add.'!O13*'Cracker Yields'!$C$5+'Financial Model Prop. Fur. Add.'!O14*'Cracker Yields'!$D$5+'Financial Model Prop. Fur. Add.'!O15*'Cracker Yields'!$E$5</f>
        <v>5612.5166666666664</v>
      </c>
      <c r="P21" s="405">
        <f>P12*'Cracker Yields'!$B$5+'Financial Model Prop. Fur. Add.'!P13*'Cracker Yields'!$C$5+'Financial Model Prop. Fur. Add.'!P14*'Cracker Yields'!$D$5+'Financial Model Prop. Fur. Add.'!P15*'Cracker Yields'!$E$5</f>
        <v>5612.5166666666664</v>
      </c>
      <c r="Q21" s="405">
        <f>Q12*'Cracker Yields'!$B$5+'Financial Model Prop. Fur. Add.'!Q13*'Cracker Yields'!$C$5+'Financial Model Prop. Fur. Add.'!Q14*'Cracker Yields'!$D$5+'Financial Model Prop. Fur. Add.'!Q15*'Cracker Yields'!$E$5</f>
        <v>5612.5166666666664</v>
      </c>
      <c r="R21" s="405">
        <f>R12*'Cracker Yields'!$B$5+'Financial Model Prop. Fur. Add.'!R13*'Cracker Yields'!$C$5+'Financial Model Prop. Fur. Add.'!R14*'Cracker Yields'!$D$5+'Financial Model Prop. Fur. Add.'!R15*'Cracker Yields'!$E$5</f>
        <v>5612.5166666666664</v>
      </c>
      <c r="S21" s="405">
        <f>S12*'Cracker Yields'!$B$5+'Financial Model Prop. Fur. Add.'!S13*'Cracker Yields'!$C$5+'Financial Model Prop. Fur. Add.'!S14*'Cracker Yields'!$D$5+'Financial Model Prop. Fur. Add.'!S15*'Cracker Yields'!$E$5</f>
        <v>5612.5166666666664</v>
      </c>
      <c r="T21" s="405">
        <f>T12*'Cracker Yields'!$B$5+'Financial Model Prop. Fur. Add.'!T13*'Cracker Yields'!$C$5+'Financial Model Prop. Fur. Add.'!T14*'Cracker Yields'!$D$5+'Financial Model Prop. Fur. Add.'!T15*'Cracker Yields'!$E$5</f>
        <v>5612.5166666666664</v>
      </c>
      <c r="U21" s="405">
        <f>U12*'Cracker Yields'!$B$5+'Financial Model Prop. Fur. Add.'!U13*'Cracker Yields'!$C$5+'Financial Model Prop. Fur. Add.'!U14*'Cracker Yields'!$D$5+'Financial Model Prop. Fur. Add.'!U15*'Cracker Yields'!$E$5</f>
        <v>5612.5166666666664</v>
      </c>
      <c r="V21" s="405">
        <f>V12*'Cracker Yields'!$B$5+'Financial Model Prop. Fur. Add.'!V13*'Cracker Yields'!$C$5+'Financial Model Prop. Fur. Add.'!V14*'Cracker Yields'!$D$5+'Financial Model Prop. Fur. Add.'!V15*'Cracker Yields'!$E$5</f>
        <v>5612.5166666666664</v>
      </c>
      <c r="W21" s="405">
        <f>W12*'Cracker Yields'!$B$5+'Financial Model Prop. Fur. Add.'!W13*'Cracker Yields'!$C$5+'Financial Model Prop. Fur. Add.'!W14*'Cracker Yields'!$D$5+'Financial Model Prop. Fur. Add.'!W15*'Cracker Yields'!$E$5</f>
        <v>5612.5166666666664</v>
      </c>
      <c r="X21" s="405">
        <f>X12*'Cracker Yields'!$B$5+'Financial Model Prop. Fur. Add.'!X13*'Cracker Yields'!$C$5+'Financial Model Prop. Fur. Add.'!X14*'Cracker Yields'!$D$5+'Financial Model Prop. Fur. Add.'!X15*'Cracker Yields'!$E$5</f>
        <v>5612.5166666666664</v>
      </c>
      <c r="Y21" s="405">
        <f>Y12*'Cracker Yields'!$B$5+'Financial Model Prop. Fur. Add.'!Y13*'Cracker Yields'!$C$5+'Financial Model Prop. Fur. Add.'!Y14*'Cracker Yields'!$D$5+'Financial Model Prop. Fur. Add.'!Y15*'Cracker Yields'!$E$5</f>
        <v>5612.5166666666664</v>
      </c>
      <c r="Z21" s="405">
        <f>Z12*'Cracker Yields'!$B$5+'Financial Model Prop. Fur. Add.'!Z13*'Cracker Yields'!$C$5+'Financial Model Prop. Fur. Add.'!Z14*'Cracker Yields'!$D$5+'Financial Model Prop. Fur. Add.'!Z15*'Cracker Yields'!$E$5</f>
        <v>5612.5166666666664</v>
      </c>
      <c r="AA21" s="405">
        <f>AA12*'Cracker Yields'!$B$5+'Financial Model Prop. Fur. Add.'!AA13*'Cracker Yields'!$C$5+'Financial Model Prop. Fur. Add.'!AA14*'Cracker Yields'!$D$5+'Financial Model Prop. Fur. Add.'!AA15*'Cracker Yields'!$E$5</f>
        <v>5612.5166666666664</v>
      </c>
      <c r="AB21" s="405">
        <f>AB12*'Cracker Yields'!$B$5+'Financial Model Prop. Fur. Add.'!AB13*'Cracker Yields'!$C$5+'Financial Model Prop. Fur. Add.'!AB14*'Cracker Yields'!$D$5+'Financial Model Prop. Fur. Add.'!AB15*'Cracker Yields'!$E$5</f>
        <v>5612.5166666666664</v>
      </c>
      <c r="AC21" s="405">
        <f>AC12*'Cracker Yields'!$B$5+'Financial Model Prop. Fur. Add.'!AC13*'Cracker Yields'!$C$5+'Financial Model Prop. Fur. Add.'!AC14*'Cracker Yields'!$D$5+'Financial Model Prop. Fur. Add.'!AC15*'Cracker Yields'!$E$5</f>
        <v>5612.5166666666664</v>
      </c>
      <c r="AD21" s="405">
        <f>AD12*'Cracker Yields'!$B$5+'Financial Model Prop. Fur. Add.'!AD13*'Cracker Yields'!$C$5+'Financial Model Prop. Fur. Add.'!AD14*'Cracker Yields'!$D$5+'Financial Model Prop. Fur. Add.'!AD15*'Cracker Yields'!$E$5</f>
        <v>5612.5166666666664</v>
      </c>
      <c r="AE21" s="405">
        <f>AE12*'Cracker Yields'!$B$5+'Financial Model Prop. Fur. Add.'!AE13*'Cracker Yields'!$C$5+'Financial Model Prop. Fur. Add.'!AE14*'Cracker Yields'!$D$5+'Financial Model Prop. Fur. Add.'!AE15*'Cracker Yields'!$E$5</f>
        <v>5612.5166666666664</v>
      </c>
      <c r="AF21" s="405">
        <f>AF12*'Cracker Yields'!$B$5+'Financial Model Prop. Fur. Add.'!AF13*'Cracker Yields'!$C$5+'Financial Model Prop. Fur. Add.'!AF14*'Cracker Yields'!$D$5+'Financial Model Prop. Fur. Add.'!AF15*'Cracker Yields'!$E$5</f>
        <v>5612.5166666666664</v>
      </c>
      <c r="AG21" s="405">
        <f>AG12*'Cracker Yields'!$B$5+'Financial Model Prop. Fur. Add.'!AG13*'Cracker Yields'!$C$5+'Financial Model Prop. Fur. Add.'!AG14*'Cracker Yields'!$D$5+'Financial Model Prop. Fur. Add.'!AG15*'Cracker Yields'!$E$5</f>
        <v>5612.5166666666664</v>
      </c>
      <c r="AH21" s="405">
        <f>AH12*'Cracker Yields'!$B$5+'Financial Model Prop. Fur. Add.'!AH13*'Cracker Yields'!$C$5+'Financial Model Prop. Fur. Add.'!AH14*'Cracker Yields'!$D$5+'Financial Model Prop. Fur. Add.'!AH15*'Cracker Yields'!$E$5</f>
        <v>5612.5166666666664</v>
      </c>
      <c r="AI21" s="405">
        <f>AI12*'Cracker Yields'!$B$5+'Financial Model Prop. Fur. Add.'!AI13*'Cracker Yields'!$C$5+'Financial Model Prop. Fur. Add.'!AI14*'Cracker Yields'!$D$5+'Financial Model Prop. Fur. Add.'!AI15*'Cracker Yields'!$E$5</f>
        <v>5612.5166666666664</v>
      </c>
      <c r="AJ21" s="405">
        <f>AJ12*'Cracker Yields'!$B$5+'Financial Model Prop. Fur. Add.'!AJ13*'Cracker Yields'!$C$5+'Financial Model Prop. Fur. Add.'!AJ14*'Cracker Yields'!$D$5+'Financial Model Prop. Fur. Add.'!AJ15*'Cracker Yields'!$E$5</f>
        <v>5612.5166666666664</v>
      </c>
      <c r="AK21" s="405">
        <f>AK12*'Cracker Yields'!$B$5+'Financial Model Prop. Fur. Add.'!AK13*'Cracker Yields'!$C$5+'Financial Model Prop. Fur. Add.'!AK14*'Cracker Yields'!$D$5+'Financial Model Prop. Fur. Add.'!AK15*'Cracker Yields'!$E$5</f>
        <v>5612.5166666666664</v>
      </c>
      <c r="AL21" s="405">
        <f>AL12*'Cracker Yields'!$B$5+'Financial Model Prop. Fur. Add.'!AL13*'Cracker Yields'!$C$5+'Financial Model Prop. Fur. Add.'!AL14*'Cracker Yields'!$D$5+'Financial Model Prop. Fur. Add.'!AL15*'Cracker Yields'!$E$5</f>
        <v>5612.5166666666664</v>
      </c>
      <c r="AM21" s="405">
        <f>AM12*'Cracker Yields'!$B$5+'Financial Model Prop. Fur. Add.'!AM13*'Cracker Yields'!$C$5+'Financial Model Prop. Fur. Add.'!AM14*'Cracker Yields'!$D$5+'Financial Model Prop. Fur. Add.'!AM15*'Cracker Yields'!$E$5</f>
        <v>5612.5166666666664</v>
      </c>
      <c r="AN21" s="405">
        <f>AN12*'Cracker Yields'!$B$5+'Financial Model Prop. Fur. Add.'!AN13*'Cracker Yields'!$C$5+'Financial Model Prop. Fur. Add.'!AN14*'Cracker Yields'!$D$5+'Financial Model Prop. Fur. Add.'!AN15*'Cracker Yields'!$E$5</f>
        <v>5612.5166666666664</v>
      </c>
      <c r="AO21" s="405">
        <f>AO12*'Cracker Yields'!$B$5+'Financial Model Prop. Fur. Add.'!AO13*'Cracker Yields'!$C$5+'Financial Model Prop. Fur. Add.'!AO14*'Cracker Yields'!$D$5+'Financial Model Prop. Fur. Add.'!AO15*'Cracker Yields'!$E$5</f>
        <v>5612.5166666666664</v>
      </c>
      <c r="AP21" s="405">
        <f>AP12*'Cracker Yields'!$B$5+'Financial Model Prop. Fur. Add.'!AP13*'Cracker Yields'!$C$5+'Financial Model Prop. Fur. Add.'!AP14*'Cracker Yields'!$D$5+'Financial Model Prop. Fur. Add.'!AP15*'Cracker Yields'!$E$5</f>
        <v>5612.5166666666664</v>
      </c>
      <c r="AQ21" s="405">
        <f>AQ12*'Cracker Yields'!$B$5+'Financial Model Prop. Fur. Add.'!AQ13*'Cracker Yields'!$C$5+'Financial Model Prop. Fur. Add.'!AQ14*'Cracker Yields'!$D$5+'Financial Model Prop. Fur. Add.'!AQ15*'Cracker Yields'!$E$5</f>
        <v>5612.5166666666664</v>
      </c>
      <c r="AR21" s="405">
        <f>AR12*'Cracker Yields'!$B$5+'Financial Model Prop. Fur. Add.'!AR13*'Cracker Yields'!$C$5+'Financial Model Prop. Fur. Add.'!AR14*'Cracker Yields'!$D$5+'Financial Model Prop. Fur. Add.'!AR15*'Cracker Yields'!$E$5</f>
        <v>5612.5166666666664</v>
      </c>
      <c r="AS21" s="405">
        <f>AS12*'Cracker Yields'!$B$5+'Financial Model Prop. Fur. Add.'!AS13*'Cracker Yields'!$C$5+'Financial Model Prop. Fur. Add.'!AS14*'Cracker Yields'!$D$5+'Financial Model Prop. Fur. Add.'!AS15*'Cracker Yields'!$E$5</f>
        <v>5612.5166666666664</v>
      </c>
      <c r="AT21" s="405">
        <f>AT12*'Cracker Yields'!$B$5+'Financial Model Prop. Fur. Add.'!AT13*'Cracker Yields'!$C$5+'Financial Model Prop. Fur. Add.'!AT14*'Cracker Yields'!$D$5+'Financial Model Prop. Fur. Add.'!AT15*'Cracker Yields'!$E$5</f>
        <v>5612.5166666666664</v>
      </c>
      <c r="AU21" s="405">
        <f>AU12*'Cracker Yields'!$B$5+'Financial Model Prop. Fur. Add.'!AU13*'Cracker Yields'!$C$5+'Financial Model Prop. Fur. Add.'!AU14*'Cracker Yields'!$D$5+'Financial Model Prop. Fur. Add.'!AU15*'Cracker Yields'!$E$5</f>
        <v>5612.5166666666664</v>
      </c>
      <c r="AV21" s="405">
        <f>AV12*'Cracker Yields'!$B$5+'Financial Model Prop. Fur. Add.'!AV13*'Cracker Yields'!$C$5+'Financial Model Prop. Fur. Add.'!AV14*'Cracker Yields'!$D$5+'Financial Model Prop. Fur. Add.'!AV15*'Cracker Yields'!$E$5</f>
        <v>5612.5166666666664</v>
      </c>
      <c r="AW21" s="405">
        <f>AW12*'Cracker Yields'!$B$5+'Financial Model Prop. Fur. Add.'!AW13*'Cracker Yields'!$C$5+'Financial Model Prop. Fur. Add.'!AW14*'Cracker Yields'!$D$5+'Financial Model Prop. Fur. Add.'!AW15*'Cracker Yields'!$E$5</f>
        <v>5612.5166666666664</v>
      </c>
      <c r="AX21" s="405">
        <f>AX12*'Cracker Yields'!$B$5+'Financial Model Prop. Fur. Add.'!AX13*'Cracker Yields'!$C$5+'Financial Model Prop. Fur. Add.'!AX14*'Cracker Yields'!$D$5+'Financial Model Prop. Fur. Add.'!AX15*'Cracker Yields'!$E$5</f>
        <v>5612.5166666666664</v>
      </c>
      <c r="AY21" s="405">
        <f>AY12*'Cracker Yields'!$B$5+'Financial Model Prop. Fur. Add.'!AY13*'Cracker Yields'!$C$5+'Financial Model Prop. Fur. Add.'!AY14*'Cracker Yields'!$D$5+'Financial Model Prop. Fur. Add.'!AY15*'Cracker Yields'!$E$5</f>
        <v>5612.5166666666664</v>
      </c>
      <c r="AZ21" s="405">
        <f>AZ12*'Cracker Yields'!$B$5+'Financial Model Prop. Fur. Add.'!AZ13*'Cracker Yields'!$C$5+'Financial Model Prop. Fur. Add.'!AZ14*'Cracker Yields'!$D$5+'Financial Model Prop. Fur. Add.'!AZ15*'Cracker Yields'!$E$5</f>
        <v>5612.5166666666664</v>
      </c>
      <c r="BA21" s="405">
        <f>BA12*'Cracker Yields'!$B$5+'Financial Model Prop. Fur. Add.'!BA13*'Cracker Yields'!$C$5+'Financial Model Prop. Fur. Add.'!BA14*'Cracker Yields'!$D$5+'Financial Model Prop. Fur. Add.'!BA15*'Cracker Yields'!$E$5</f>
        <v>5612.5166666666664</v>
      </c>
      <c r="BB21" s="405">
        <f>BB12*'Cracker Yields'!$B$5+'Financial Model Prop. Fur. Add.'!BB13*'Cracker Yields'!$C$5+'Financial Model Prop. Fur. Add.'!BB14*'Cracker Yields'!$D$5+'Financial Model Prop. Fur. Add.'!BB15*'Cracker Yields'!$E$5</f>
        <v>5612.5166666666664</v>
      </c>
      <c r="BC21" s="405">
        <f>BC12*'Cracker Yields'!$B$5+'Financial Model Prop. Fur. Add.'!BC13*'Cracker Yields'!$C$5+'Financial Model Prop. Fur. Add.'!BC14*'Cracker Yields'!$D$5+'Financial Model Prop. Fur. Add.'!BC15*'Cracker Yields'!$E$5</f>
        <v>5612.5166666666664</v>
      </c>
      <c r="BD21" s="405">
        <f>BD12*'Cracker Yields'!$B$5+'Financial Model Prop. Fur. Add.'!BD13*'Cracker Yields'!$C$5+'Financial Model Prop. Fur. Add.'!BD14*'Cracker Yields'!$D$5+'Financial Model Prop. Fur. Add.'!BD15*'Cracker Yields'!$E$5</f>
        <v>5612.5166666666664</v>
      </c>
      <c r="BE21" s="405">
        <f>BE12*'Cracker Yields'!$B$5+'Financial Model Prop. Fur. Add.'!BE13*'Cracker Yields'!$C$5+'Financial Model Prop. Fur. Add.'!BE14*'Cracker Yields'!$D$5+'Financial Model Prop. Fur. Add.'!BE15*'Cracker Yields'!$E$5</f>
        <v>5612.5166666666664</v>
      </c>
      <c r="BF21" s="405">
        <f>BF12*'Cracker Yields'!$B$5+'Financial Model Prop. Fur. Add.'!BF13*'Cracker Yields'!$C$5+'Financial Model Prop. Fur. Add.'!BF14*'Cracker Yields'!$D$5+'Financial Model Prop. Fur. Add.'!BF15*'Cracker Yields'!$E$5</f>
        <v>5612.5166666666664</v>
      </c>
      <c r="BG21" s="405">
        <f>BG12*'Cracker Yields'!$B$5+'Financial Model Prop. Fur. Add.'!BG13*'Cracker Yields'!$C$5+'Financial Model Prop. Fur. Add.'!BG14*'Cracker Yields'!$D$5+'Financial Model Prop. Fur. Add.'!BG15*'Cracker Yields'!$E$5</f>
        <v>5612.5166666666664</v>
      </c>
      <c r="BH21" s="405">
        <f>BH12*'Cracker Yields'!$B$5+'Financial Model Prop. Fur. Add.'!BH13*'Cracker Yields'!$C$5+'Financial Model Prop. Fur. Add.'!BH14*'Cracker Yields'!$D$5+'Financial Model Prop. Fur. Add.'!BH15*'Cracker Yields'!$E$5</f>
        <v>5612.5166666666664</v>
      </c>
      <c r="BI21" s="405">
        <f>BI12*'Cracker Yields'!$B$5+'Financial Model Prop. Fur. Add.'!BI13*'Cracker Yields'!$C$5+'Financial Model Prop. Fur. Add.'!BI14*'Cracker Yields'!$D$5+'Financial Model Prop. Fur. Add.'!BI15*'Cracker Yields'!$E$5</f>
        <v>5612.5166666666664</v>
      </c>
      <c r="BJ21" s="405">
        <f>BJ12*'Cracker Yields'!$B$5+'Financial Model Prop. Fur. Add.'!BJ13*'Cracker Yields'!$C$5+'Financial Model Prop. Fur. Add.'!BJ14*'Cracker Yields'!$D$5+'Financial Model Prop. Fur. Add.'!BJ15*'Cracker Yields'!$E$5</f>
        <v>5612.5166666666664</v>
      </c>
      <c r="BK21" s="405">
        <f>BK12*'Cracker Yields'!$B$5+'Financial Model Prop. Fur. Add.'!BK13*'Cracker Yields'!$C$5+'Financial Model Prop. Fur. Add.'!BK14*'Cracker Yields'!$D$5+'Financial Model Prop. Fur. Add.'!BK15*'Cracker Yields'!$E$5</f>
        <v>5612.5166666666664</v>
      </c>
      <c r="BL21" s="405">
        <f>BL12*'Cracker Yields'!$B$5+'Financial Model Prop. Fur. Add.'!BL13*'Cracker Yields'!$C$5+'Financial Model Prop. Fur. Add.'!BL14*'Cracker Yields'!$D$5+'Financial Model Prop. Fur. Add.'!BL15*'Cracker Yields'!$E$5</f>
        <v>5612.5166666666664</v>
      </c>
      <c r="BM21" s="405">
        <f>BM12*'Cracker Yields'!$B$5+'Financial Model Prop. Fur. Add.'!BM13*'Cracker Yields'!$C$5+'Financial Model Prop. Fur. Add.'!BM14*'Cracker Yields'!$D$5+'Financial Model Prop. Fur. Add.'!BM15*'Cracker Yields'!$E$5</f>
        <v>5612.5166666666664</v>
      </c>
      <c r="BN21" s="405">
        <f>BN12*'Cracker Yields'!$B$5+'Financial Model Prop. Fur. Add.'!BN13*'Cracker Yields'!$C$5+'Financial Model Prop. Fur. Add.'!BN14*'Cracker Yields'!$D$5+'Financial Model Prop. Fur. Add.'!BN15*'Cracker Yields'!$E$5</f>
        <v>5612.5166666666664</v>
      </c>
      <c r="BO21" s="405">
        <f>BO12*'Cracker Yields'!$B$5+'Financial Model Prop. Fur. Add.'!BO13*'Cracker Yields'!$C$5+'Financial Model Prop. Fur. Add.'!BO14*'Cracker Yields'!$D$5+'Financial Model Prop. Fur. Add.'!BO15*'Cracker Yields'!$E$5</f>
        <v>5612.5166666666664</v>
      </c>
      <c r="BP21" s="405">
        <f>BP12*'Cracker Yields'!$B$5+'Financial Model Prop. Fur. Add.'!BP13*'Cracker Yields'!$C$5+'Financial Model Prop. Fur. Add.'!BP14*'Cracker Yields'!$D$5+'Financial Model Prop. Fur. Add.'!BP15*'Cracker Yields'!$E$5</f>
        <v>5612.5166666666664</v>
      </c>
      <c r="BQ21" s="405">
        <f>BQ12*'Cracker Yields'!$B$5+'Financial Model Prop. Fur. Add.'!BQ13*'Cracker Yields'!$C$5+'Financial Model Prop. Fur. Add.'!BQ14*'Cracker Yields'!$D$5+'Financial Model Prop. Fur. Add.'!BQ15*'Cracker Yields'!$E$5</f>
        <v>5612.5166666666664</v>
      </c>
      <c r="BR21" s="405">
        <f>BR12*'Cracker Yields'!$B$5+'Financial Model Prop. Fur. Add.'!BR13*'Cracker Yields'!$C$5+'Financial Model Prop. Fur. Add.'!BR14*'Cracker Yields'!$D$5+'Financial Model Prop. Fur. Add.'!BR15*'Cracker Yields'!$E$5</f>
        <v>5612.5166666666664</v>
      </c>
      <c r="BS21" s="405">
        <f>BS12*'Cracker Yields'!$B$5+'Financial Model Prop. Fur. Add.'!BS13*'Cracker Yields'!$C$5+'Financial Model Prop. Fur. Add.'!BS14*'Cracker Yields'!$D$5+'Financial Model Prop. Fur. Add.'!BS15*'Cracker Yields'!$E$5</f>
        <v>5612.5166666666664</v>
      </c>
      <c r="BT21" s="405">
        <f>BT12*'Cracker Yields'!$B$5+'Financial Model Prop. Fur. Add.'!BT13*'Cracker Yields'!$C$5+'Financial Model Prop. Fur. Add.'!BT14*'Cracker Yields'!$D$5+'Financial Model Prop. Fur. Add.'!BT15*'Cracker Yields'!$E$5</f>
        <v>5612.5166666666664</v>
      </c>
      <c r="BU21" s="405">
        <f>BU12*'Cracker Yields'!$B$5+'Financial Model Prop. Fur. Add.'!BU13*'Cracker Yields'!$C$5+'Financial Model Prop. Fur. Add.'!BU14*'Cracker Yields'!$D$5+'Financial Model Prop. Fur. Add.'!BU15*'Cracker Yields'!$E$5</f>
        <v>5612.5166666666664</v>
      </c>
      <c r="BV21" s="405">
        <f>BV12*'Cracker Yields'!$B$5+'Financial Model Prop. Fur. Add.'!BV13*'Cracker Yields'!$C$5+'Financial Model Prop. Fur. Add.'!BV14*'Cracker Yields'!$D$5+'Financial Model Prop. Fur. Add.'!BV15*'Cracker Yields'!$E$5</f>
        <v>5612.5166666666664</v>
      </c>
      <c r="BW21" s="405">
        <f>BW12*'Cracker Yields'!$B$5+'Financial Model Prop. Fur. Add.'!BW13*'Cracker Yields'!$C$5+'Financial Model Prop. Fur. Add.'!BW14*'Cracker Yields'!$D$5+'Financial Model Prop. Fur. Add.'!BW15*'Cracker Yields'!$E$5</f>
        <v>5612.5166666666664</v>
      </c>
      <c r="BX21" s="405">
        <f>BX12*'Cracker Yields'!$B$5+'Financial Model Prop. Fur. Add.'!BX13*'Cracker Yields'!$C$5+'Financial Model Prop. Fur. Add.'!BX14*'Cracker Yields'!$D$5+'Financial Model Prop. Fur. Add.'!BX15*'Cracker Yields'!$E$5</f>
        <v>5612.5166666666664</v>
      </c>
      <c r="BY21" s="405">
        <f>BY12*'Cracker Yields'!$B$5+'Financial Model Prop. Fur. Add.'!BY13*'Cracker Yields'!$C$5+'Financial Model Prop. Fur. Add.'!BY14*'Cracker Yields'!$D$5+'Financial Model Prop. Fur. Add.'!BY15*'Cracker Yields'!$E$5</f>
        <v>5612.5166666666664</v>
      </c>
      <c r="BZ21" s="405">
        <f>BZ12*'Cracker Yields'!$B$5+'Financial Model Prop. Fur. Add.'!BZ13*'Cracker Yields'!$C$5+'Financial Model Prop. Fur. Add.'!BZ14*'Cracker Yields'!$D$5+'Financial Model Prop. Fur. Add.'!BZ15*'Cracker Yields'!$E$5</f>
        <v>5612.5166666666664</v>
      </c>
      <c r="CA21" s="405">
        <f>CA12*'Cracker Yields'!$B$5+'Financial Model Prop. Fur. Add.'!CA13*'Cracker Yields'!$C$5+'Financial Model Prop. Fur. Add.'!CA14*'Cracker Yields'!$D$5+'Financial Model Prop. Fur. Add.'!CA15*'Cracker Yields'!$E$5</f>
        <v>5612.5166666666664</v>
      </c>
      <c r="CB21" s="405">
        <f>CB12*'Cracker Yields'!$B$5+'Financial Model Prop. Fur. Add.'!CB13*'Cracker Yields'!$C$5+'Financial Model Prop. Fur. Add.'!CB14*'Cracker Yields'!$D$5+'Financial Model Prop. Fur. Add.'!CB15*'Cracker Yields'!$E$5</f>
        <v>5612.5166666666664</v>
      </c>
      <c r="CC21" s="405">
        <f>CC12*'Cracker Yields'!$B$5+'Financial Model Prop. Fur. Add.'!CC13*'Cracker Yields'!$C$5+'Financial Model Prop. Fur. Add.'!CC14*'Cracker Yields'!$D$5+'Financial Model Prop. Fur. Add.'!CC15*'Cracker Yields'!$E$5</f>
        <v>5612.5166666666664</v>
      </c>
      <c r="CD21" s="405">
        <f>CD12*'Cracker Yields'!$B$5+'Financial Model Prop. Fur. Add.'!CD13*'Cracker Yields'!$C$5+'Financial Model Prop. Fur. Add.'!CD14*'Cracker Yields'!$D$5+'Financial Model Prop. Fur. Add.'!CD15*'Cracker Yields'!$E$5</f>
        <v>5612.5166666666664</v>
      </c>
      <c r="CE21" s="405">
        <f>CE12*'Cracker Yields'!$B$5+'Financial Model Prop. Fur. Add.'!CE13*'Cracker Yields'!$C$5+'Financial Model Prop. Fur. Add.'!CE14*'Cracker Yields'!$D$5+'Financial Model Prop. Fur. Add.'!CE15*'Cracker Yields'!$E$5</f>
        <v>5612.5166666666664</v>
      </c>
      <c r="CF21" s="405">
        <f>CF12*'Cracker Yields'!$B$5+'Financial Model Prop. Fur. Add.'!CF13*'Cracker Yields'!$C$5+'Financial Model Prop. Fur. Add.'!CF14*'Cracker Yields'!$D$5+'Financial Model Prop. Fur. Add.'!CF15*'Cracker Yields'!$E$5</f>
        <v>5612.5166666666664</v>
      </c>
      <c r="CG21" s="405">
        <f>CG12*'Cracker Yields'!$B$5+'Financial Model Prop. Fur. Add.'!CG13*'Cracker Yields'!$C$5+'Financial Model Prop. Fur. Add.'!CG14*'Cracker Yields'!$D$5+'Financial Model Prop. Fur. Add.'!CG15*'Cracker Yields'!$E$5</f>
        <v>5612.5166666666664</v>
      </c>
      <c r="CH21" s="405">
        <f>CH12*'Cracker Yields'!$B$5+'Financial Model Prop. Fur. Add.'!CH13*'Cracker Yields'!$C$5+'Financial Model Prop. Fur. Add.'!CH14*'Cracker Yields'!$D$5+'Financial Model Prop. Fur. Add.'!CH15*'Cracker Yields'!$E$5</f>
        <v>5612.5166666666664</v>
      </c>
      <c r="CI21" s="405">
        <f>CI12*'Cracker Yields'!$B$5+'Financial Model Prop. Fur. Add.'!CI13*'Cracker Yields'!$C$5+'Financial Model Prop. Fur. Add.'!CI14*'Cracker Yields'!$D$5+'Financial Model Prop. Fur. Add.'!CI15*'Cracker Yields'!$E$5</f>
        <v>5612.5166666666664</v>
      </c>
      <c r="CJ21" s="405">
        <f>CJ12*'Cracker Yields'!$B$5+'Financial Model Prop. Fur. Add.'!CJ13*'Cracker Yields'!$C$5+'Financial Model Prop. Fur. Add.'!CJ14*'Cracker Yields'!$D$5+'Financial Model Prop. Fur. Add.'!CJ15*'Cracker Yields'!$E$5</f>
        <v>5612.5166666666664</v>
      </c>
      <c r="CK21" s="405">
        <f>CK12*'Cracker Yields'!$B$5+'Financial Model Prop. Fur. Add.'!CK13*'Cracker Yields'!$C$5+'Financial Model Prop. Fur. Add.'!CK14*'Cracker Yields'!$D$5+'Financial Model Prop. Fur. Add.'!CK15*'Cracker Yields'!$E$5</f>
        <v>5612.5166666666664</v>
      </c>
      <c r="CL21" s="405">
        <f>CL12*'Cracker Yields'!$B$5+'Financial Model Prop. Fur. Add.'!CL13*'Cracker Yields'!$C$5+'Financial Model Prop. Fur. Add.'!CL14*'Cracker Yields'!$D$5+'Financial Model Prop. Fur. Add.'!CL15*'Cracker Yields'!$E$5</f>
        <v>5612.5166666666664</v>
      </c>
      <c r="CM21" s="41">
        <f t="shared" si="1"/>
        <v>5612.5166666666637</v>
      </c>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row>
    <row r="22" spans="1:178">
      <c r="A22" s="1061"/>
      <c r="B22" s="224" t="s">
        <v>309</v>
      </c>
      <c r="C22" s="367" t="s">
        <v>310</v>
      </c>
      <c r="D22" s="367"/>
      <c r="E22" s="1064"/>
      <c r="F22" s="407" t="str">
        <f>F11</f>
        <v xml:space="preserve"> C9+   </v>
      </c>
      <c r="G22" s="408">
        <f>G12*'Cracker Yields'!$B$11+'Financial Model Prop. Fur. Add.'!G13*'Cracker Yields'!$C$11+'Financial Model Prop. Fur. Add.'!G14*'Cracker Yields'!$D$11+'Financial Model Prop. Fur. Add.'!G15*'Cracker Yields'!$E$11</f>
        <v>3984.7713749999998</v>
      </c>
      <c r="H22" s="408">
        <f>H12*'Cracker Yields'!$B$11+'Financial Model Prop. Fur. Add.'!H13*'Cracker Yields'!$C$11+'Financial Model Prop. Fur. Add.'!H14*'Cracker Yields'!$D$11+'Financial Model Prop. Fur. Add.'!H15*'Cracker Yields'!$E$11</f>
        <v>3984.7713749999998</v>
      </c>
      <c r="I22" s="408">
        <f>I12*'Cracker Yields'!$B$11+'Financial Model Prop. Fur. Add.'!I13*'Cracker Yields'!$C$11+'Financial Model Prop. Fur. Add.'!I14*'Cracker Yields'!$D$11+'Financial Model Prop. Fur. Add.'!I15*'Cracker Yields'!$E$11</f>
        <v>3984.7713749999998</v>
      </c>
      <c r="J22" s="408">
        <f>J12*'Cracker Yields'!$B$11+'Financial Model Prop. Fur. Add.'!J13*'Cracker Yields'!$C$11+'Financial Model Prop. Fur. Add.'!J14*'Cracker Yields'!$D$11+'Financial Model Prop. Fur. Add.'!J15*'Cracker Yields'!$E$11</f>
        <v>3984.7713749999998</v>
      </c>
      <c r="K22" s="408">
        <f>K12*'Cracker Yields'!$B$11+'Financial Model Prop. Fur. Add.'!K13*'Cracker Yields'!$C$11+'Financial Model Prop. Fur. Add.'!K14*'Cracker Yields'!$D$11+'Financial Model Prop. Fur. Add.'!K15*'Cracker Yields'!$E$11</f>
        <v>3984.7713749999998</v>
      </c>
      <c r="L22" s="408">
        <f>L12*'Cracker Yields'!$B$11+'Financial Model Prop. Fur. Add.'!L13*'Cracker Yields'!$C$11+'Financial Model Prop. Fur. Add.'!L14*'Cracker Yields'!$D$11+'Financial Model Prop. Fur. Add.'!L15*'Cracker Yields'!$E$11</f>
        <v>3984.7713749999998</v>
      </c>
      <c r="M22" s="408">
        <f>M12*'Cracker Yields'!$B$11+'Financial Model Prop. Fur. Add.'!M13*'Cracker Yields'!$C$11+'Financial Model Prop. Fur. Add.'!M14*'Cracker Yields'!$D$11+'Financial Model Prop. Fur. Add.'!M15*'Cracker Yields'!$E$11</f>
        <v>3984.7713749999998</v>
      </c>
      <c r="N22" s="408">
        <f>N12*'Cracker Yields'!$B$11+'Financial Model Prop. Fur. Add.'!N13*'Cracker Yields'!$C$11+'Financial Model Prop. Fur. Add.'!N14*'Cracker Yields'!$D$11+'Financial Model Prop. Fur. Add.'!N15*'Cracker Yields'!$E$11</f>
        <v>3984.7713749999998</v>
      </c>
      <c r="O22" s="408">
        <f>O12*'Cracker Yields'!$B$11+'Financial Model Prop. Fur. Add.'!O13*'Cracker Yields'!$C$11+'Financial Model Prop. Fur. Add.'!O14*'Cracker Yields'!$D$11+'Financial Model Prop. Fur. Add.'!O15*'Cracker Yields'!$E$11</f>
        <v>3984.7713749999998</v>
      </c>
      <c r="P22" s="408">
        <f>P12*'Cracker Yields'!$B$11+'Financial Model Prop. Fur. Add.'!P13*'Cracker Yields'!$C$11+'Financial Model Prop. Fur. Add.'!P14*'Cracker Yields'!$D$11+'Financial Model Prop. Fur. Add.'!P15*'Cracker Yields'!$E$11</f>
        <v>3984.7713749999998</v>
      </c>
      <c r="Q22" s="408">
        <f>Q12*'Cracker Yields'!$B$11+'Financial Model Prop. Fur. Add.'!Q13*'Cracker Yields'!$C$11+'Financial Model Prop. Fur. Add.'!Q14*'Cracker Yields'!$D$11+'Financial Model Prop. Fur. Add.'!Q15*'Cracker Yields'!$E$11</f>
        <v>3984.7713749999998</v>
      </c>
      <c r="R22" s="408">
        <f>R12*'Cracker Yields'!$B$11+'Financial Model Prop. Fur. Add.'!R13*'Cracker Yields'!$C$11+'Financial Model Prop. Fur. Add.'!R14*'Cracker Yields'!$D$11+'Financial Model Prop. Fur. Add.'!R15*'Cracker Yields'!$E$11</f>
        <v>3984.7713749999998</v>
      </c>
      <c r="S22" s="408">
        <f>S12*'Cracker Yields'!$B$11+'Financial Model Prop. Fur. Add.'!S13*'Cracker Yields'!$C$11+'Financial Model Prop. Fur. Add.'!S14*'Cracker Yields'!$D$11+'Financial Model Prop. Fur. Add.'!S15*'Cracker Yields'!$E$11</f>
        <v>3984.7713749999998</v>
      </c>
      <c r="T22" s="408">
        <f>T12*'Cracker Yields'!$B$11+'Financial Model Prop. Fur. Add.'!T13*'Cracker Yields'!$C$11+'Financial Model Prop. Fur. Add.'!T14*'Cracker Yields'!$D$11+'Financial Model Prop. Fur. Add.'!T15*'Cracker Yields'!$E$11</f>
        <v>3984.7713749999998</v>
      </c>
      <c r="U22" s="408">
        <f>U12*'Cracker Yields'!$B$11+'Financial Model Prop. Fur. Add.'!U13*'Cracker Yields'!$C$11+'Financial Model Prop. Fur. Add.'!U14*'Cracker Yields'!$D$11+'Financial Model Prop. Fur. Add.'!U15*'Cracker Yields'!$E$11</f>
        <v>3984.7713749999998</v>
      </c>
      <c r="V22" s="408">
        <f>V12*'Cracker Yields'!$B$11+'Financial Model Prop. Fur. Add.'!V13*'Cracker Yields'!$C$11+'Financial Model Prop. Fur. Add.'!V14*'Cracker Yields'!$D$11+'Financial Model Prop. Fur. Add.'!V15*'Cracker Yields'!$E$11</f>
        <v>3984.7713749999998</v>
      </c>
      <c r="W22" s="408">
        <f>W12*'Cracker Yields'!$B$11+'Financial Model Prop. Fur. Add.'!W13*'Cracker Yields'!$C$11+'Financial Model Prop. Fur. Add.'!W14*'Cracker Yields'!$D$11+'Financial Model Prop. Fur. Add.'!W15*'Cracker Yields'!$E$11</f>
        <v>3984.7713749999998</v>
      </c>
      <c r="X22" s="408">
        <f>X12*'Cracker Yields'!$B$11+'Financial Model Prop. Fur. Add.'!X13*'Cracker Yields'!$C$11+'Financial Model Prop. Fur. Add.'!X14*'Cracker Yields'!$D$11+'Financial Model Prop. Fur. Add.'!X15*'Cracker Yields'!$E$11</f>
        <v>3984.7713749999998</v>
      </c>
      <c r="Y22" s="408">
        <f>Y12*'Cracker Yields'!$B$11+'Financial Model Prop. Fur. Add.'!Y13*'Cracker Yields'!$C$11+'Financial Model Prop. Fur. Add.'!Y14*'Cracker Yields'!$D$11+'Financial Model Prop. Fur. Add.'!Y15*'Cracker Yields'!$E$11</f>
        <v>3984.7713749999998</v>
      </c>
      <c r="Z22" s="408">
        <f>Z12*'Cracker Yields'!$B$11+'Financial Model Prop. Fur. Add.'!Z13*'Cracker Yields'!$C$11+'Financial Model Prop. Fur. Add.'!Z14*'Cracker Yields'!$D$11+'Financial Model Prop. Fur. Add.'!Z15*'Cracker Yields'!$E$11</f>
        <v>3984.7713749999998</v>
      </c>
      <c r="AA22" s="408">
        <f>AA12*'Cracker Yields'!$B$11+'Financial Model Prop. Fur. Add.'!AA13*'Cracker Yields'!$C$11+'Financial Model Prop. Fur. Add.'!AA14*'Cracker Yields'!$D$11+'Financial Model Prop. Fur. Add.'!AA15*'Cracker Yields'!$E$11</f>
        <v>3984.7713749999998</v>
      </c>
      <c r="AB22" s="408">
        <f>AB12*'Cracker Yields'!$B$11+'Financial Model Prop. Fur. Add.'!AB13*'Cracker Yields'!$C$11+'Financial Model Prop. Fur. Add.'!AB14*'Cracker Yields'!$D$11+'Financial Model Prop. Fur. Add.'!AB15*'Cracker Yields'!$E$11</f>
        <v>3984.7713749999998</v>
      </c>
      <c r="AC22" s="408">
        <f>AC12*'Cracker Yields'!$B$11+'Financial Model Prop. Fur. Add.'!AC13*'Cracker Yields'!$C$11+'Financial Model Prop. Fur. Add.'!AC14*'Cracker Yields'!$D$11+'Financial Model Prop. Fur. Add.'!AC15*'Cracker Yields'!$E$11</f>
        <v>3984.7713749999998</v>
      </c>
      <c r="AD22" s="408">
        <f>AD12*'Cracker Yields'!$B$11+'Financial Model Prop. Fur. Add.'!AD13*'Cracker Yields'!$C$11+'Financial Model Prop. Fur. Add.'!AD14*'Cracker Yields'!$D$11+'Financial Model Prop. Fur. Add.'!AD15*'Cracker Yields'!$E$11</f>
        <v>3984.7713749999998</v>
      </c>
      <c r="AE22" s="408">
        <f>AE12*'Cracker Yields'!$B$11+'Financial Model Prop. Fur. Add.'!AE13*'Cracker Yields'!$C$11+'Financial Model Prop. Fur. Add.'!AE14*'Cracker Yields'!$D$11+'Financial Model Prop. Fur. Add.'!AE15*'Cracker Yields'!$E$11</f>
        <v>3984.7713749999998</v>
      </c>
      <c r="AF22" s="408">
        <f>AF12*'Cracker Yields'!$B$11+'Financial Model Prop. Fur. Add.'!AF13*'Cracker Yields'!$C$11+'Financial Model Prop. Fur. Add.'!AF14*'Cracker Yields'!$D$11+'Financial Model Prop. Fur. Add.'!AF15*'Cracker Yields'!$E$11</f>
        <v>3984.7713749999998</v>
      </c>
      <c r="AG22" s="408">
        <f>AG12*'Cracker Yields'!$B$11+'Financial Model Prop. Fur. Add.'!AG13*'Cracker Yields'!$C$11+'Financial Model Prop. Fur. Add.'!AG14*'Cracker Yields'!$D$11+'Financial Model Prop. Fur. Add.'!AG15*'Cracker Yields'!$E$11</f>
        <v>3984.7713749999998</v>
      </c>
      <c r="AH22" s="408">
        <f>AH12*'Cracker Yields'!$B$11+'Financial Model Prop. Fur. Add.'!AH13*'Cracker Yields'!$C$11+'Financial Model Prop. Fur. Add.'!AH14*'Cracker Yields'!$D$11+'Financial Model Prop. Fur. Add.'!AH15*'Cracker Yields'!$E$11</f>
        <v>3984.7713749999998</v>
      </c>
      <c r="AI22" s="408">
        <f>AI12*'Cracker Yields'!$B$11+'Financial Model Prop. Fur. Add.'!AI13*'Cracker Yields'!$C$11+'Financial Model Prop. Fur. Add.'!AI14*'Cracker Yields'!$D$11+'Financial Model Prop. Fur. Add.'!AI15*'Cracker Yields'!$E$11</f>
        <v>3984.7713749999998</v>
      </c>
      <c r="AJ22" s="408">
        <f>AJ12*'Cracker Yields'!$B$11+'Financial Model Prop. Fur. Add.'!AJ13*'Cracker Yields'!$C$11+'Financial Model Prop. Fur. Add.'!AJ14*'Cracker Yields'!$D$11+'Financial Model Prop. Fur. Add.'!AJ15*'Cracker Yields'!$E$11</f>
        <v>3984.7713749999998</v>
      </c>
      <c r="AK22" s="408">
        <f>AK12*'Cracker Yields'!$B$11+'Financial Model Prop. Fur. Add.'!AK13*'Cracker Yields'!$C$11+'Financial Model Prop. Fur. Add.'!AK14*'Cracker Yields'!$D$11+'Financial Model Prop. Fur. Add.'!AK15*'Cracker Yields'!$E$11</f>
        <v>3984.7713749999998</v>
      </c>
      <c r="AL22" s="408">
        <f>AL12*'Cracker Yields'!$B$11+'Financial Model Prop. Fur. Add.'!AL13*'Cracker Yields'!$C$11+'Financial Model Prop. Fur. Add.'!AL14*'Cracker Yields'!$D$11+'Financial Model Prop. Fur. Add.'!AL15*'Cracker Yields'!$E$11</f>
        <v>3984.7713749999998</v>
      </c>
      <c r="AM22" s="408">
        <f>AM12*'Cracker Yields'!$B$11+'Financial Model Prop. Fur. Add.'!AM13*'Cracker Yields'!$C$11+'Financial Model Prop. Fur. Add.'!AM14*'Cracker Yields'!$D$11+'Financial Model Prop. Fur. Add.'!AM15*'Cracker Yields'!$E$11</f>
        <v>3984.7713749999998</v>
      </c>
      <c r="AN22" s="408">
        <f>AN12*'Cracker Yields'!$B$11+'Financial Model Prop. Fur. Add.'!AN13*'Cracker Yields'!$C$11+'Financial Model Prop. Fur. Add.'!AN14*'Cracker Yields'!$D$11+'Financial Model Prop. Fur. Add.'!AN15*'Cracker Yields'!$E$11</f>
        <v>3984.7713749999998</v>
      </c>
      <c r="AO22" s="408">
        <f>AO12*'Cracker Yields'!$B$11+'Financial Model Prop. Fur. Add.'!AO13*'Cracker Yields'!$C$11+'Financial Model Prop. Fur. Add.'!AO14*'Cracker Yields'!$D$11+'Financial Model Prop. Fur. Add.'!AO15*'Cracker Yields'!$E$11</f>
        <v>3984.7713749999998</v>
      </c>
      <c r="AP22" s="408">
        <f>AP12*'Cracker Yields'!$B$11+'Financial Model Prop. Fur. Add.'!AP13*'Cracker Yields'!$C$11+'Financial Model Prop. Fur. Add.'!AP14*'Cracker Yields'!$D$11+'Financial Model Prop. Fur. Add.'!AP15*'Cracker Yields'!$E$11</f>
        <v>3984.7713749999998</v>
      </c>
      <c r="AQ22" s="408">
        <f>AQ12*'Cracker Yields'!$B$11+'Financial Model Prop. Fur. Add.'!AQ13*'Cracker Yields'!$C$11+'Financial Model Prop. Fur. Add.'!AQ14*'Cracker Yields'!$D$11+'Financial Model Prop. Fur. Add.'!AQ15*'Cracker Yields'!$E$11</f>
        <v>3984.7713749999998</v>
      </c>
      <c r="AR22" s="408">
        <f>AR12*'Cracker Yields'!$B$11+'Financial Model Prop. Fur. Add.'!AR13*'Cracker Yields'!$C$11+'Financial Model Prop. Fur. Add.'!AR14*'Cracker Yields'!$D$11+'Financial Model Prop. Fur. Add.'!AR15*'Cracker Yields'!$E$11</f>
        <v>3984.7713749999998</v>
      </c>
      <c r="AS22" s="408">
        <f>AS12*'Cracker Yields'!$B$11+'Financial Model Prop. Fur. Add.'!AS13*'Cracker Yields'!$C$11+'Financial Model Prop. Fur. Add.'!AS14*'Cracker Yields'!$D$11+'Financial Model Prop. Fur. Add.'!AS15*'Cracker Yields'!$E$11</f>
        <v>3984.7713749999998</v>
      </c>
      <c r="AT22" s="408">
        <f>AT12*'Cracker Yields'!$B$11+'Financial Model Prop. Fur. Add.'!AT13*'Cracker Yields'!$C$11+'Financial Model Prop. Fur. Add.'!AT14*'Cracker Yields'!$D$11+'Financial Model Prop. Fur. Add.'!AT15*'Cracker Yields'!$E$11</f>
        <v>3984.7713749999998</v>
      </c>
      <c r="AU22" s="408">
        <f>AU12*'Cracker Yields'!$B$11+'Financial Model Prop. Fur. Add.'!AU13*'Cracker Yields'!$C$11+'Financial Model Prop. Fur. Add.'!AU14*'Cracker Yields'!$D$11+'Financial Model Prop. Fur. Add.'!AU15*'Cracker Yields'!$E$11</f>
        <v>3984.7713749999998</v>
      </c>
      <c r="AV22" s="408">
        <f>AV12*'Cracker Yields'!$B$11+'Financial Model Prop. Fur. Add.'!AV13*'Cracker Yields'!$C$11+'Financial Model Prop. Fur. Add.'!AV14*'Cracker Yields'!$D$11+'Financial Model Prop. Fur. Add.'!AV15*'Cracker Yields'!$E$11</f>
        <v>3984.7713749999998</v>
      </c>
      <c r="AW22" s="408">
        <f>AW12*'Cracker Yields'!$B$11+'Financial Model Prop. Fur. Add.'!AW13*'Cracker Yields'!$C$11+'Financial Model Prop. Fur. Add.'!AW14*'Cracker Yields'!$D$11+'Financial Model Prop. Fur. Add.'!AW15*'Cracker Yields'!$E$11</f>
        <v>3984.7713749999998</v>
      </c>
      <c r="AX22" s="408">
        <f>AX12*'Cracker Yields'!$B$11+'Financial Model Prop. Fur. Add.'!AX13*'Cracker Yields'!$C$11+'Financial Model Prop. Fur. Add.'!AX14*'Cracker Yields'!$D$11+'Financial Model Prop. Fur. Add.'!AX15*'Cracker Yields'!$E$11</f>
        <v>3984.7713749999998</v>
      </c>
      <c r="AY22" s="408">
        <f>AY12*'Cracker Yields'!$B$11+'Financial Model Prop. Fur. Add.'!AY13*'Cracker Yields'!$C$11+'Financial Model Prop. Fur. Add.'!AY14*'Cracker Yields'!$D$11+'Financial Model Prop. Fur. Add.'!AY15*'Cracker Yields'!$E$11</f>
        <v>3984.7713749999998</v>
      </c>
      <c r="AZ22" s="408">
        <f>AZ12*'Cracker Yields'!$B$11+'Financial Model Prop. Fur. Add.'!AZ13*'Cracker Yields'!$C$11+'Financial Model Prop. Fur. Add.'!AZ14*'Cracker Yields'!$D$11+'Financial Model Prop. Fur. Add.'!AZ15*'Cracker Yields'!$E$11</f>
        <v>3984.7713749999998</v>
      </c>
      <c r="BA22" s="408">
        <f>BA12*'Cracker Yields'!$B$11+'Financial Model Prop. Fur. Add.'!BA13*'Cracker Yields'!$C$11+'Financial Model Prop. Fur. Add.'!BA14*'Cracker Yields'!$D$11+'Financial Model Prop. Fur. Add.'!BA15*'Cracker Yields'!$E$11</f>
        <v>3984.7713749999998</v>
      </c>
      <c r="BB22" s="408">
        <f>BB12*'Cracker Yields'!$B$11+'Financial Model Prop. Fur. Add.'!BB13*'Cracker Yields'!$C$11+'Financial Model Prop. Fur. Add.'!BB14*'Cracker Yields'!$D$11+'Financial Model Prop. Fur. Add.'!BB15*'Cracker Yields'!$E$11</f>
        <v>3984.7713749999998</v>
      </c>
      <c r="BC22" s="408">
        <f>BC12*'Cracker Yields'!$B$11+'Financial Model Prop. Fur. Add.'!BC13*'Cracker Yields'!$C$11+'Financial Model Prop. Fur. Add.'!BC14*'Cracker Yields'!$D$11+'Financial Model Prop. Fur. Add.'!BC15*'Cracker Yields'!$E$11</f>
        <v>3984.7713749999998</v>
      </c>
      <c r="BD22" s="408">
        <f>BD12*'Cracker Yields'!$B$11+'Financial Model Prop. Fur. Add.'!BD13*'Cracker Yields'!$C$11+'Financial Model Prop. Fur. Add.'!BD14*'Cracker Yields'!$D$11+'Financial Model Prop. Fur. Add.'!BD15*'Cracker Yields'!$E$11</f>
        <v>3984.7713749999998</v>
      </c>
      <c r="BE22" s="408">
        <f>BE12*'Cracker Yields'!$B$11+'Financial Model Prop. Fur. Add.'!BE13*'Cracker Yields'!$C$11+'Financial Model Prop. Fur. Add.'!BE14*'Cracker Yields'!$D$11+'Financial Model Prop. Fur. Add.'!BE15*'Cracker Yields'!$E$11</f>
        <v>3984.7713749999998</v>
      </c>
      <c r="BF22" s="408">
        <f>BF12*'Cracker Yields'!$B$11+'Financial Model Prop. Fur. Add.'!BF13*'Cracker Yields'!$C$11+'Financial Model Prop. Fur. Add.'!BF14*'Cracker Yields'!$D$11+'Financial Model Prop. Fur. Add.'!BF15*'Cracker Yields'!$E$11</f>
        <v>3984.7713749999998</v>
      </c>
      <c r="BG22" s="408">
        <f>BG12*'Cracker Yields'!$B$11+'Financial Model Prop. Fur. Add.'!BG13*'Cracker Yields'!$C$11+'Financial Model Prop. Fur. Add.'!BG14*'Cracker Yields'!$D$11+'Financial Model Prop. Fur. Add.'!BG15*'Cracker Yields'!$E$11</f>
        <v>3984.7713749999998</v>
      </c>
      <c r="BH22" s="408">
        <f>BH12*'Cracker Yields'!$B$11+'Financial Model Prop. Fur. Add.'!BH13*'Cracker Yields'!$C$11+'Financial Model Prop. Fur. Add.'!BH14*'Cracker Yields'!$D$11+'Financial Model Prop. Fur. Add.'!BH15*'Cracker Yields'!$E$11</f>
        <v>3984.7713749999998</v>
      </c>
      <c r="BI22" s="408">
        <f>BI12*'Cracker Yields'!$B$11+'Financial Model Prop. Fur. Add.'!BI13*'Cracker Yields'!$C$11+'Financial Model Prop. Fur. Add.'!BI14*'Cracker Yields'!$D$11+'Financial Model Prop. Fur. Add.'!BI15*'Cracker Yields'!$E$11</f>
        <v>3984.7713749999998</v>
      </c>
      <c r="BJ22" s="408">
        <f>BJ12*'Cracker Yields'!$B$11+'Financial Model Prop. Fur. Add.'!BJ13*'Cracker Yields'!$C$11+'Financial Model Prop. Fur. Add.'!BJ14*'Cracker Yields'!$D$11+'Financial Model Prop. Fur. Add.'!BJ15*'Cracker Yields'!$E$11</f>
        <v>3984.7713749999998</v>
      </c>
      <c r="BK22" s="408">
        <f>BK12*'Cracker Yields'!$B$11+'Financial Model Prop. Fur. Add.'!BK13*'Cracker Yields'!$C$11+'Financial Model Prop. Fur. Add.'!BK14*'Cracker Yields'!$D$11+'Financial Model Prop. Fur. Add.'!BK15*'Cracker Yields'!$E$11</f>
        <v>3984.7713749999998</v>
      </c>
      <c r="BL22" s="408">
        <f>BL12*'Cracker Yields'!$B$11+'Financial Model Prop. Fur. Add.'!BL13*'Cracker Yields'!$C$11+'Financial Model Prop. Fur. Add.'!BL14*'Cracker Yields'!$D$11+'Financial Model Prop. Fur. Add.'!BL15*'Cracker Yields'!$E$11</f>
        <v>3984.7713749999998</v>
      </c>
      <c r="BM22" s="408">
        <f>BM12*'Cracker Yields'!$B$11+'Financial Model Prop. Fur. Add.'!BM13*'Cracker Yields'!$C$11+'Financial Model Prop. Fur. Add.'!BM14*'Cracker Yields'!$D$11+'Financial Model Prop. Fur. Add.'!BM15*'Cracker Yields'!$E$11</f>
        <v>3984.7713749999998</v>
      </c>
      <c r="BN22" s="408">
        <f>BN12*'Cracker Yields'!$B$11+'Financial Model Prop. Fur. Add.'!BN13*'Cracker Yields'!$C$11+'Financial Model Prop. Fur. Add.'!BN14*'Cracker Yields'!$D$11+'Financial Model Prop. Fur. Add.'!BN15*'Cracker Yields'!$E$11</f>
        <v>3984.7713749999998</v>
      </c>
      <c r="BO22" s="408">
        <f>BO12*'Cracker Yields'!$B$11+'Financial Model Prop. Fur. Add.'!BO13*'Cracker Yields'!$C$11+'Financial Model Prop. Fur. Add.'!BO14*'Cracker Yields'!$D$11+'Financial Model Prop. Fur. Add.'!BO15*'Cracker Yields'!$E$11</f>
        <v>3984.7713749999998</v>
      </c>
      <c r="BP22" s="408">
        <f>BP12*'Cracker Yields'!$B$11+'Financial Model Prop. Fur. Add.'!BP13*'Cracker Yields'!$C$11+'Financial Model Prop. Fur. Add.'!BP14*'Cracker Yields'!$D$11+'Financial Model Prop. Fur. Add.'!BP15*'Cracker Yields'!$E$11</f>
        <v>3984.7713749999998</v>
      </c>
      <c r="BQ22" s="408">
        <f>BQ12*'Cracker Yields'!$B$11+'Financial Model Prop. Fur. Add.'!BQ13*'Cracker Yields'!$C$11+'Financial Model Prop. Fur. Add.'!BQ14*'Cracker Yields'!$D$11+'Financial Model Prop. Fur. Add.'!BQ15*'Cracker Yields'!$E$11</f>
        <v>3984.7713749999998</v>
      </c>
      <c r="BR22" s="408">
        <f>BR12*'Cracker Yields'!$B$11+'Financial Model Prop. Fur. Add.'!BR13*'Cracker Yields'!$C$11+'Financial Model Prop. Fur. Add.'!BR14*'Cracker Yields'!$D$11+'Financial Model Prop. Fur. Add.'!BR15*'Cracker Yields'!$E$11</f>
        <v>3984.7713749999998</v>
      </c>
      <c r="BS22" s="408">
        <f>BS12*'Cracker Yields'!$B$11+'Financial Model Prop. Fur. Add.'!BS13*'Cracker Yields'!$C$11+'Financial Model Prop. Fur. Add.'!BS14*'Cracker Yields'!$D$11+'Financial Model Prop. Fur. Add.'!BS15*'Cracker Yields'!$E$11</f>
        <v>3984.7713749999998</v>
      </c>
      <c r="BT22" s="408">
        <f>BT12*'Cracker Yields'!$B$11+'Financial Model Prop. Fur. Add.'!BT13*'Cracker Yields'!$C$11+'Financial Model Prop. Fur. Add.'!BT14*'Cracker Yields'!$D$11+'Financial Model Prop. Fur. Add.'!BT15*'Cracker Yields'!$E$11</f>
        <v>3984.7713749999998</v>
      </c>
      <c r="BU22" s="408">
        <f>BU12*'Cracker Yields'!$B$11+'Financial Model Prop. Fur. Add.'!BU13*'Cracker Yields'!$C$11+'Financial Model Prop. Fur. Add.'!BU14*'Cracker Yields'!$D$11+'Financial Model Prop. Fur. Add.'!BU15*'Cracker Yields'!$E$11</f>
        <v>3984.7713749999998</v>
      </c>
      <c r="BV22" s="408">
        <f>BV12*'Cracker Yields'!$B$11+'Financial Model Prop. Fur. Add.'!BV13*'Cracker Yields'!$C$11+'Financial Model Prop. Fur. Add.'!BV14*'Cracker Yields'!$D$11+'Financial Model Prop. Fur. Add.'!BV15*'Cracker Yields'!$E$11</f>
        <v>3984.7713749999998</v>
      </c>
      <c r="BW22" s="408">
        <f>BW12*'Cracker Yields'!$B$11+'Financial Model Prop. Fur. Add.'!BW13*'Cracker Yields'!$C$11+'Financial Model Prop. Fur. Add.'!BW14*'Cracker Yields'!$D$11+'Financial Model Prop. Fur. Add.'!BW15*'Cracker Yields'!$E$11</f>
        <v>3984.7713749999998</v>
      </c>
      <c r="BX22" s="408">
        <f>BX12*'Cracker Yields'!$B$11+'Financial Model Prop. Fur. Add.'!BX13*'Cracker Yields'!$C$11+'Financial Model Prop. Fur. Add.'!BX14*'Cracker Yields'!$D$11+'Financial Model Prop. Fur. Add.'!BX15*'Cracker Yields'!$E$11</f>
        <v>3984.7713749999998</v>
      </c>
      <c r="BY22" s="408">
        <f>BY12*'Cracker Yields'!$B$11+'Financial Model Prop. Fur. Add.'!BY13*'Cracker Yields'!$C$11+'Financial Model Prop. Fur. Add.'!BY14*'Cracker Yields'!$D$11+'Financial Model Prop. Fur. Add.'!BY15*'Cracker Yields'!$E$11</f>
        <v>3984.7713749999998</v>
      </c>
      <c r="BZ22" s="408">
        <f>BZ12*'Cracker Yields'!$B$11+'Financial Model Prop. Fur. Add.'!BZ13*'Cracker Yields'!$C$11+'Financial Model Prop. Fur. Add.'!BZ14*'Cracker Yields'!$D$11+'Financial Model Prop. Fur. Add.'!BZ15*'Cracker Yields'!$E$11</f>
        <v>3984.7713749999998</v>
      </c>
      <c r="CA22" s="408">
        <f>CA12*'Cracker Yields'!$B$11+'Financial Model Prop. Fur. Add.'!CA13*'Cracker Yields'!$C$11+'Financial Model Prop. Fur. Add.'!CA14*'Cracker Yields'!$D$11+'Financial Model Prop. Fur. Add.'!CA15*'Cracker Yields'!$E$11</f>
        <v>3984.7713749999998</v>
      </c>
      <c r="CB22" s="408">
        <f>CB12*'Cracker Yields'!$B$11+'Financial Model Prop. Fur. Add.'!CB13*'Cracker Yields'!$C$11+'Financial Model Prop. Fur. Add.'!CB14*'Cracker Yields'!$D$11+'Financial Model Prop. Fur. Add.'!CB15*'Cracker Yields'!$E$11</f>
        <v>3984.7713749999998</v>
      </c>
      <c r="CC22" s="408">
        <f>CC12*'Cracker Yields'!$B$11+'Financial Model Prop. Fur. Add.'!CC13*'Cracker Yields'!$C$11+'Financial Model Prop. Fur. Add.'!CC14*'Cracker Yields'!$D$11+'Financial Model Prop. Fur. Add.'!CC15*'Cracker Yields'!$E$11</f>
        <v>3984.7713749999998</v>
      </c>
      <c r="CD22" s="408">
        <f>CD12*'Cracker Yields'!$B$11+'Financial Model Prop. Fur. Add.'!CD13*'Cracker Yields'!$C$11+'Financial Model Prop. Fur. Add.'!CD14*'Cracker Yields'!$D$11+'Financial Model Prop. Fur. Add.'!CD15*'Cracker Yields'!$E$11</f>
        <v>3984.7713749999998</v>
      </c>
      <c r="CE22" s="408">
        <f>CE12*'Cracker Yields'!$B$11+'Financial Model Prop. Fur. Add.'!CE13*'Cracker Yields'!$C$11+'Financial Model Prop. Fur. Add.'!CE14*'Cracker Yields'!$D$11+'Financial Model Prop. Fur. Add.'!CE15*'Cracker Yields'!$E$11</f>
        <v>3984.7713749999998</v>
      </c>
      <c r="CF22" s="408">
        <f>CF12*'Cracker Yields'!$B$11+'Financial Model Prop. Fur. Add.'!CF13*'Cracker Yields'!$C$11+'Financial Model Prop. Fur. Add.'!CF14*'Cracker Yields'!$D$11+'Financial Model Prop. Fur. Add.'!CF15*'Cracker Yields'!$E$11</f>
        <v>3984.7713749999998</v>
      </c>
      <c r="CG22" s="408">
        <f>CG12*'Cracker Yields'!$B$11+'Financial Model Prop. Fur. Add.'!CG13*'Cracker Yields'!$C$11+'Financial Model Prop. Fur. Add.'!CG14*'Cracker Yields'!$D$11+'Financial Model Prop. Fur. Add.'!CG15*'Cracker Yields'!$E$11</f>
        <v>3984.7713749999998</v>
      </c>
      <c r="CH22" s="408">
        <f>CH12*'Cracker Yields'!$B$11+'Financial Model Prop. Fur. Add.'!CH13*'Cracker Yields'!$C$11+'Financial Model Prop. Fur. Add.'!CH14*'Cracker Yields'!$D$11+'Financial Model Prop. Fur. Add.'!CH15*'Cracker Yields'!$E$11</f>
        <v>3984.7713749999998</v>
      </c>
      <c r="CI22" s="408">
        <f>CI12*'Cracker Yields'!$B$11+'Financial Model Prop. Fur. Add.'!CI13*'Cracker Yields'!$C$11+'Financial Model Prop. Fur. Add.'!CI14*'Cracker Yields'!$D$11+'Financial Model Prop. Fur. Add.'!CI15*'Cracker Yields'!$E$11</f>
        <v>3984.7713749999998</v>
      </c>
      <c r="CJ22" s="408">
        <f>CJ12*'Cracker Yields'!$B$11+'Financial Model Prop. Fur. Add.'!CJ13*'Cracker Yields'!$C$11+'Financial Model Prop. Fur. Add.'!CJ14*'Cracker Yields'!$D$11+'Financial Model Prop. Fur. Add.'!CJ15*'Cracker Yields'!$E$11</f>
        <v>3984.7713749999998</v>
      </c>
      <c r="CK22" s="408">
        <f>CK12*'Cracker Yields'!$B$11+'Financial Model Prop. Fur. Add.'!CK13*'Cracker Yields'!$C$11+'Financial Model Prop. Fur. Add.'!CK14*'Cracker Yields'!$D$11+'Financial Model Prop. Fur. Add.'!CK15*'Cracker Yields'!$E$11</f>
        <v>3984.7713749999998</v>
      </c>
      <c r="CL22" s="408">
        <f>CL12*'Cracker Yields'!$B$11+'Financial Model Prop. Fur. Add.'!CL13*'Cracker Yields'!$C$11+'Financial Model Prop. Fur. Add.'!CL14*'Cracker Yields'!$D$11+'Financial Model Prop. Fur. Add.'!CL15*'Cracker Yields'!$E$11</f>
        <v>3984.7713749999998</v>
      </c>
      <c r="CM22" s="42">
        <f t="shared" si="1"/>
        <v>3984.7713750000057</v>
      </c>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row>
    <row r="23" spans="1:178">
      <c r="A23" s="1050" t="s">
        <v>314</v>
      </c>
      <c r="B23" s="2" t="s">
        <v>309</v>
      </c>
      <c r="C23" s="362" t="s">
        <v>310</v>
      </c>
      <c r="D23" s="362">
        <v>27.86</v>
      </c>
      <c r="E23" s="58"/>
      <c r="F23" s="382" t="s">
        <v>169</v>
      </c>
      <c r="G23" s="410">
        <f>$D$23*G16/1000</f>
        <v>3128.7518710369814</v>
      </c>
      <c r="H23" s="410">
        <f t="shared" ref="H23:BS23" si="2">$D$23*H16/1000</f>
        <v>3128.7518710369814</v>
      </c>
      <c r="I23" s="410">
        <f t="shared" si="2"/>
        <v>3128.7518710369814</v>
      </c>
      <c r="J23" s="410">
        <f t="shared" si="2"/>
        <v>3128.7518710369814</v>
      </c>
      <c r="K23" s="410">
        <f t="shared" si="2"/>
        <v>3128.7518710369814</v>
      </c>
      <c r="L23" s="410">
        <f t="shared" si="2"/>
        <v>3128.7518710369814</v>
      </c>
      <c r="M23" s="410">
        <f t="shared" si="2"/>
        <v>3128.7518710369814</v>
      </c>
      <c r="N23" s="410">
        <f t="shared" si="2"/>
        <v>3128.7518710369814</v>
      </c>
      <c r="O23" s="410">
        <f t="shared" si="2"/>
        <v>3128.7518710369814</v>
      </c>
      <c r="P23" s="410">
        <f t="shared" si="2"/>
        <v>3128.7518710369814</v>
      </c>
      <c r="Q23" s="410">
        <f t="shared" si="2"/>
        <v>3128.7518710369814</v>
      </c>
      <c r="R23" s="410">
        <f t="shared" si="2"/>
        <v>3128.7518710369814</v>
      </c>
      <c r="S23" s="410">
        <f t="shared" si="2"/>
        <v>3128.7518710369814</v>
      </c>
      <c r="T23" s="410">
        <f t="shared" si="2"/>
        <v>3128.7518710369814</v>
      </c>
      <c r="U23" s="410">
        <f t="shared" si="2"/>
        <v>3128.7518710369814</v>
      </c>
      <c r="V23" s="410">
        <f t="shared" si="2"/>
        <v>3128.7518710369814</v>
      </c>
      <c r="W23" s="410">
        <f t="shared" si="2"/>
        <v>3128.7518710369814</v>
      </c>
      <c r="X23" s="410">
        <f t="shared" si="2"/>
        <v>3128.7518710369814</v>
      </c>
      <c r="Y23" s="410">
        <f t="shared" si="2"/>
        <v>3128.7518710369814</v>
      </c>
      <c r="Z23" s="410">
        <f t="shared" si="2"/>
        <v>3128.7518710369814</v>
      </c>
      <c r="AA23" s="410">
        <f t="shared" si="2"/>
        <v>3128.7518710369814</v>
      </c>
      <c r="AB23" s="410">
        <f t="shared" si="2"/>
        <v>3128.7518710369814</v>
      </c>
      <c r="AC23" s="410">
        <f t="shared" si="2"/>
        <v>3128.7518710369814</v>
      </c>
      <c r="AD23" s="410">
        <f t="shared" si="2"/>
        <v>3128.7518710369814</v>
      </c>
      <c r="AE23" s="410">
        <f t="shared" si="2"/>
        <v>3128.7518710369814</v>
      </c>
      <c r="AF23" s="410">
        <f t="shared" si="2"/>
        <v>3128.7518710369814</v>
      </c>
      <c r="AG23" s="410">
        <f t="shared" si="2"/>
        <v>3128.7518710369814</v>
      </c>
      <c r="AH23" s="410">
        <f t="shared" si="2"/>
        <v>3128.7518710369814</v>
      </c>
      <c r="AI23" s="410">
        <f t="shared" si="2"/>
        <v>3128.7518710369814</v>
      </c>
      <c r="AJ23" s="410">
        <f t="shared" si="2"/>
        <v>3128.7518710369814</v>
      </c>
      <c r="AK23" s="410">
        <f t="shared" si="2"/>
        <v>3128.7518710369814</v>
      </c>
      <c r="AL23" s="410">
        <f t="shared" si="2"/>
        <v>3128.7518710369814</v>
      </c>
      <c r="AM23" s="410">
        <f t="shared" si="2"/>
        <v>3128.7518710369814</v>
      </c>
      <c r="AN23" s="410">
        <f t="shared" si="2"/>
        <v>3128.7518710369814</v>
      </c>
      <c r="AO23" s="410">
        <f t="shared" si="2"/>
        <v>3128.7518710369814</v>
      </c>
      <c r="AP23" s="410">
        <f t="shared" si="2"/>
        <v>3128.7518710369814</v>
      </c>
      <c r="AQ23" s="410">
        <f t="shared" si="2"/>
        <v>3128.7518710369814</v>
      </c>
      <c r="AR23" s="410">
        <f t="shared" si="2"/>
        <v>3128.7518710369814</v>
      </c>
      <c r="AS23" s="410">
        <f t="shared" si="2"/>
        <v>3128.7518710369814</v>
      </c>
      <c r="AT23" s="410">
        <f t="shared" si="2"/>
        <v>3128.7518710369814</v>
      </c>
      <c r="AU23" s="410">
        <f t="shared" si="2"/>
        <v>3128.7518710369814</v>
      </c>
      <c r="AV23" s="410">
        <f t="shared" si="2"/>
        <v>3128.7518710369814</v>
      </c>
      <c r="AW23" s="410">
        <f t="shared" si="2"/>
        <v>3128.7518710369814</v>
      </c>
      <c r="AX23" s="410">
        <f t="shared" si="2"/>
        <v>3128.7518710369814</v>
      </c>
      <c r="AY23" s="410">
        <f t="shared" si="2"/>
        <v>3128.7518710369814</v>
      </c>
      <c r="AZ23" s="410">
        <f t="shared" si="2"/>
        <v>3128.7518710369814</v>
      </c>
      <c r="BA23" s="410">
        <f t="shared" si="2"/>
        <v>3128.7518710369814</v>
      </c>
      <c r="BB23" s="410">
        <f t="shared" si="2"/>
        <v>3128.7518710369814</v>
      </c>
      <c r="BC23" s="410">
        <f t="shared" si="2"/>
        <v>3128.7518710369814</v>
      </c>
      <c r="BD23" s="410">
        <f t="shared" si="2"/>
        <v>3128.7518710369814</v>
      </c>
      <c r="BE23" s="410">
        <f t="shared" si="2"/>
        <v>3128.7518710369814</v>
      </c>
      <c r="BF23" s="410">
        <f t="shared" si="2"/>
        <v>3128.7518710369814</v>
      </c>
      <c r="BG23" s="410">
        <f t="shared" si="2"/>
        <v>3128.7518710369814</v>
      </c>
      <c r="BH23" s="410">
        <f t="shared" si="2"/>
        <v>3128.7518710369814</v>
      </c>
      <c r="BI23" s="410">
        <f t="shared" si="2"/>
        <v>3128.7518710369814</v>
      </c>
      <c r="BJ23" s="410">
        <f t="shared" si="2"/>
        <v>3128.7518710369814</v>
      </c>
      <c r="BK23" s="410">
        <f t="shared" si="2"/>
        <v>3128.7518710369814</v>
      </c>
      <c r="BL23" s="410">
        <f t="shared" si="2"/>
        <v>3128.7518710369814</v>
      </c>
      <c r="BM23" s="410">
        <f t="shared" si="2"/>
        <v>3128.7518710369814</v>
      </c>
      <c r="BN23" s="410">
        <f t="shared" si="2"/>
        <v>3128.7518710369814</v>
      </c>
      <c r="BO23" s="410">
        <f t="shared" si="2"/>
        <v>3128.7518710369814</v>
      </c>
      <c r="BP23" s="410">
        <f t="shared" si="2"/>
        <v>3128.7518710369814</v>
      </c>
      <c r="BQ23" s="410">
        <f t="shared" si="2"/>
        <v>3128.7518710369814</v>
      </c>
      <c r="BR23" s="410">
        <f t="shared" si="2"/>
        <v>3128.7518710369814</v>
      </c>
      <c r="BS23" s="410">
        <f t="shared" si="2"/>
        <v>3128.7518710369814</v>
      </c>
      <c r="BT23" s="410">
        <f t="shared" ref="BT23:CL23" si="3">$D$23*BT16/1000</f>
        <v>3128.7518710369814</v>
      </c>
      <c r="BU23" s="410">
        <f t="shared" si="3"/>
        <v>3128.7518710369814</v>
      </c>
      <c r="BV23" s="410">
        <f t="shared" si="3"/>
        <v>3128.7518710369814</v>
      </c>
      <c r="BW23" s="410">
        <f t="shared" si="3"/>
        <v>3128.7518710369814</v>
      </c>
      <c r="BX23" s="410">
        <f t="shared" si="3"/>
        <v>3128.7518710369814</v>
      </c>
      <c r="BY23" s="410">
        <f t="shared" si="3"/>
        <v>3128.7518710369814</v>
      </c>
      <c r="BZ23" s="410">
        <f t="shared" si="3"/>
        <v>3128.7518710369814</v>
      </c>
      <c r="CA23" s="410">
        <f t="shared" si="3"/>
        <v>3128.7518710369814</v>
      </c>
      <c r="CB23" s="410">
        <f t="shared" si="3"/>
        <v>3128.7518710369814</v>
      </c>
      <c r="CC23" s="410">
        <f t="shared" si="3"/>
        <v>3128.7518710369814</v>
      </c>
      <c r="CD23" s="410">
        <f t="shared" si="3"/>
        <v>3128.7518710369814</v>
      </c>
      <c r="CE23" s="410">
        <f t="shared" si="3"/>
        <v>3128.7518710369814</v>
      </c>
      <c r="CF23" s="410">
        <f t="shared" si="3"/>
        <v>3128.7518710369814</v>
      </c>
      <c r="CG23" s="410">
        <f t="shared" si="3"/>
        <v>3128.7518710369814</v>
      </c>
      <c r="CH23" s="410">
        <f t="shared" si="3"/>
        <v>3128.7518710369814</v>
      </c>
      <c r="CI23" s="410">
        <f t="shared" si="3"/>
        <v>3128.7518710369814</v>
      </c>
      <c r="CJ23" s="410">
        <f t="shared" si="3"/>
        <v>3128.7518710369814</v>
      </c>
      <c r="CK23" s="410">
        <f t="shared" si="3"/>
        <v>3128.7518710369814</v>
      </c>
      <c r="CL23" s="410">
        <f t="shared" si="3"/>
        <v>3128.7518710369814</v>
      </c>
      <c r="CM23" s="410">
        <f t="shared" si="1"/>
        <v>3128.7518710369782</v>
      </c>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row>
    <row r="24" spans="1:178">
      <c r="A24" s="1050"/>
      <c r="B24" s="2" t="s">
        <v>309</v>
      </c>
      <c r="C24" s="362" t="s">
        <v>310</v>
      </c>
      <c r="D24" s="362">
        <v>0.23</v>
      </c>
      <c r="E24" s="58"/>
      <c r="F24" s="382" t="s">
        <v>170</v>
      </c>
      <c r="G24" s="410">
        <f>$D$24*G13</f>
        <v>13359.166666666668</v>
      </c>
      <c r="H24" s="410">
        <f t="shared" ref="H24:BS24" si="4">$D$24*H13</f>
        <v>13359.166666666668</v>
      </c>
      <c r="I24" s="410">
        <f t="shared" si="4"/>
        <v>13359.166666666668</v>
      </c>
      <c r="J24" s="410">
        <f t="shared" si="4"/>
        <v>13359.166666666668</v>
      </c>
      <c r="K24" s="410">
        <f t="shared" si="4"/>
        <v>13359.166666666668</v>
      </c>
      <c r="L24" s="410">
        <f t="shared" si="4"/>
        <v>13359.166666666668</v>
      </c>
      <c r="M24" s="410">
        <f t="shared" si="4"/>
        <v>13359.166666666668</v>
      </c>
      <c r="N24" s="410">
        <f t="shared" si="4"/>
        <v>13359.166666666668</v>
      </c>
      <c r="O24" s="410">
        <f t="shared" si="4"/>
        <v>13359.166666666668</v>
      </c>
      <c r="P24" s="410">
        <f t="shared" si="4"/>
        <v>13359.166666666668</v>
      </c>
      <c r="Q24" s="410">
        <f t="shared" si="4"/>
        <v>13359.166666666668</v>
      </c>
      <c r="R24" s="410">
        <f t="shared" si="4"/>
        <v>13359.166666666668</v>
      </c>
      <c r="S24" s="410">
        <f t="shared" si="4"/>
        <v>13359.166666666668</v>
      </c>
      <c r="T24" s="410">
        <f t="shared" si="4"/>
        <v>13359.166666666668</v>
      </c>
      <c r="U24" s="410">
        <f t="shared" si="4"/>
        <v>13359.166666666668</v>
      </c>
      <c r="V24" s="410">
        <f t="shared" si="4"/>
        <v>13359.166666666668</v>
      </c>
      <c r="W24" s="410">
        <f t="shared" si="4"/>
        <v>13359.166666666668</v>
      </c>
      <c r="X24" s="410">
        <f t="shared" si="4"/>
        <v>13359.166666666668</v>
      </c>
      <c r="Y24" s="410">
        <f t="shared" si="4"/>
        <v>13359.166666666668</v>
      </c>
      <c r="Z24" s="410">
        <f t="shared" si="4"/>
        <v>13359.166666666668</v>
      </c>
      <c r="AA24" s="410">
        <f t="shared" si="4"/>
        <v>13359.166666666668</v>
      </c>
      <c r="AB24" s="410">
        <f t="shared" si="4"/>
        <v>13359.166666666668</v>
      </c>
      <c r="AC24" s="410">
        <f t="shared" si="4"/>
        <v>13359.166666666668</v>
      </c>
      <c r="AD24" s="410">
        <f t="shared" si="4"/>
        <v>13359.166666666668</v>
      </c>
      <c r="AE24" s="410">
        <f t="shared" si="4"/>
        <v>13359.166666666668</v>
      </c>
      <c r="AF24" s="410">
        <f t="shared" si="4"/>
        <v>13359.166666666668</v>
      </c>
      <c r="AG24" s="410">
        <f t="shared" si="4"/>
        <v>13359.166666666668</v>
      </c>
      <c r="AH24" s="410">
        <f t="shared" si="4"/>
        <v>13359.166666666668</v>
      </c>
      <c r="AI24" s="410">
        <f t="shared" si="4"/>
        <v>13359.166666666668</v>
      </c>
      <c r="AJ24" s="410">
        <f t="shared" si="4"/>
        <v>13359.166666666668</v>
      </c>
      <c r="AK24" s="410">
        <f t="shared" si="4"/>
        <v>13359.166666666668</v>
      </c>
      <c r="AL24" s="410">
        <f t="shared" si="4"/>
        <v>13359.166666666668</v>
      </c>
      <c r="AM24" s="410">
        <f t="shared" si="4"/>
        <v>13359.166666666668</v>
      </c>
      <c r="AN24" s="410">
        <f t="shared" si="4"/>
        <v>13359.166666666668</v>
      </c>
      <c r="AO24" s="410">
        <f t="shared" si="4"/>
        <v>13359.166666666668</v>
      </c>
      <c r="AP24" s="410">
        <f t="shared" si="4"/>
        <v>13359.166666666668</v>
      </c>
      <c r="AQ24" s="410">
        <f t="shared" si="4"/>
        <v>13359.166666666668</v>
      </c>
      <c r="AR24" s="410">
        <f t="shared" si="4"/>
        <v>13359.166666666668</v>
      </c>
      <c r="AS24" s="410">
        <f t="shared" si="4"/>
        <v>13359.166666666668</v>
      </c>
      <c r="AT24" s="410">
        <f t="shared" si="4"/>
        <v>13359.166666666668</v>
      </c>
      <c r="AU24" s="410">
        <f t="shared" si="4"/>
        <v>13359.166666666668</v>
      </c>
      <c r="AV24" s="410">
        <f t="shared" si="4"/>
        <v>13359.166666666668</v>
      </c>
      <c r="AW24" s="410">
        <f t="shared" si="4"/>
        <v>13359.166666666668</v>
      </c>
      <c r="AX24" s="410">
        <f t="shared" si="4"/>
        <v>13359.166666666668</v>
      </c>
      <c r="AY24" s="410">
        <f t="shared" si="4"/>
        <v>13359.166666666668</v>
      </c>
      <c r="AZ24" s="410">
        <f t="shared" si="4"/>
        <v>13359.166666666668</v>
      </c>
      <c r="BA24" s="410">
        <f t="shared" si="4"/>
        <v>13359.166666666668</v>
      </c>
      <c r="BB24" s="410">
        <f t="shared" si="4"/>
        <v>13359.166666666668</v>
      </c>
      <c r="BC24" s="410">
        <f t="shared" si="4"/>
        <v>13359.166666666668</v>
      </c>
      <c r="BD24" s="410">
        <f t="shared" si="4"/>
        <v>13359.166666666668</v>
      </c>
      <c r="BE24" s="410">
        <f t="shared" si="4"/>
        <v>13359.166666666668</v>
      </c>
      <c r="BF24" s="410">
        <f t="shared" si="4"/>
        <v>13359.166666666668</v>
      </c>
      <c r="BG24" s="410">
        <f t="shared" si="4"/>
        <v>13359.166666666668</v>
      </c>
      <c r="BH24" s="410">
        <f t="shared" si="4"/>
        <v>13359.166666666668</v>
      </c>
      <c r="BI24" s="410">
        <f t="shared" si="4"/>
        <v>13359.166666666668</v>
      </c>
      <c r="BJ24" s="410">
        <f t="shared" si="4"/>
        <v>13359.166666666668</v>
      </c>
      <c r="BK24" s="410">
        <f t="shared" si="4"/>
        <v>13359.166666666668</v>
      </c>
      <c r="BL24" s="410">
        <f t="shared" si="4"/>
        <v>13359.166666666668</v>
      </c>
      <c r="BM24" s="410">
        <f t="shared" si="4"/>
        <v>13359.166666666668</v>
      </c>
      <c r="BN24" s="410">
        <f t="shared" si="4"/>
        <v>13359.166666666668</v>
      </c>
      <c r="BO24" s="410">
        <f t="shared" si="4"/>
        <v>13359.166666666668</v>
      </c>
      <c r="BP24" s="410">
        <f t="shared" si="4"/>
        <v>13359.166666666668</v>
      </c>
      <c r="BQ24" s="410">
        <f t="shared" si="4"/>
        <v>13359.166666666668</v>
      </c>
      <c r="BR24" s="410">
        <f t="shared" si="4"/>
        <v>13359.166666666668</v>
      </c>
      <c r="BS24" s="410">
        <f t="shared" si="4"/>
        <v>13359.166666666668</v>
      </c>
      <c r="BT24" s="410">
        <f t="shared" ref="BT24:CL24" si="5">$D$24*BT13</f>
        <v>13359.166666666668</v>
      </c>
      <c r="BU24" s="410">
        <f t="shared" si="5"/>
        <v>13359.166666666668</v>
      </c>
      <c r="BV24" s="410">
        <f t="shared" si="5"/>
        <v>13359.166666666668</v>
      </c>
      <c r="BW24" s="410">
        <f t="shared" si="5"/>
        <v>13359.166666666668</v>
      </c>
      <c r="BX24" s="410">
        <f t="shared" si="5"/>
        <v>13359.166666666668</v>
      </c>
      <c r="BY24" s="410">
        <f t="shared" si="5"/>
        <v>13359.166666666668</v>
      </c>
      <c r="BZ24" s="410">
        <f t="shared" si="5"/>
        <v>13359.166666666668</v>
      </c>
      <c r="CA24" s="410">
        <f t="shared" si="5"/>
        <v>13359.166666666668</v>
      </c>
      <c r="CB24" s="410">
        <f t="shared" si="5"/>
        <v>13359.166666666668</v>
      </c>
      <c r="CC24" s="410">
        <f t="shared" si="5"/>
        <v>13359.166666666668</v>
      </c>
      <c r="CD24" s="410">
        <f t="shared" si="5"/>
        <v>13359.166666666668</v>
      </c>
      <c r="CE24" s="410">
        <f t="shared" si="5"/>
        <v>13359.166666666668</v>
      </c>
      <c r="CF24" s="410">
        <f t="shared" si="5"/>
        <v>13359.166666666668</v>
      </c>
      <c r="CG24" s="410">
        <f t="shared" si="5"/>
        <v>13359.166666666668</v>
      </c>
      <c r="CH24" s="410">
        <f t="shared" si="5"/>
        <v>13359.166666666668</v>
      </c>
      <c r="CI24" s="410">
        <f t="shared" si="5"/>
        <v>13359.166666666668</v>
      </c>
      <c r="CJ24" s="410">
        <f t="shared" si="5"/>
        <v>13359.166666666668</v>
      </c>
      <c r="CK24" s="410">
        <f t="shared" si="5"/>
        <v>13359.166666666668</v>
      </c>
      <c r="CL24" s="410">
        <f t="shared" si="5"/>
        <v>13359.166666666668</v>
      </c>
      <c r="CM24" s="410">
        <f t="shared" si="1"/>
        <v>13359.166666666659</v>
      </c>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row>
    <row r="25" spans="1:178">
      <c r="A25" s="1050"/>
      <c r="B25" s="2" t="s">
        <v>309</v>
      </c>
      <c r="C25" s="362" t="s">
        <v>310</v>
      </c>
      <c r="D25" s="362">
        <v>0.26500000000000001</v>
      </c>
      <c r="E25" s="58"/>
      <c r="F25" s="382" t="s">
        <v>171</v>
      </c>
      <c r="G25" s="410">
        <f>$D$25*G14</f>
        <v>3003.3333333333335</v>
      </c>
      <c r="H25" s="410">
        <f t="shared" ref="H25:BS25" si="6">$D$25*H14</f>
        <v>3003.3333333333335</v>
      </c>
      <c r="I25" s="410">
        <f t="shared" si="6"/>
        <v>3003.3333333333335</v>
      </c>
      <c r="J25" s="410">
        <f t="shared" si="6"/>
        <v>3003.3333333333335</v>
      </c>
      <c r="K25" s="410">
        <f t="shared" si="6"/>
        <v>3003.3333333333335</v>
      </c>
      <c r="L25" s="410">
        <f t="shared" si="6"/>
        <v>3003.3333333333335</v>
      </c>
      <c r="M25" s="410">
        <f t="shared" si="6"/>
        <v>3003.3333333333335</v>
      </c>
      <c r="N25" s="410">
        <f t="shared" si="6"/>
        <v>3003.3333333333335</v>
      </c>
      <c r="O25" s="410">
        <f t="shared" si="6"/>
        <v>3003.3333333333335</v>
      </c>
      <c r="P25" s="410">
        <f t="shared" si="6"/>
        <v>3003.3333333333335</v>
      </c>
      <c r="Q25" s="410">
        <f t="shared" si="6"/>
        <v>3003.3333333333335</v>
      </c>
      <c r="R25" s="410">
        <f t="shared" si="6"/>
        <v>3003.3333333333335</v>
      </c>
      <c r="S25" s="410">
        <f t="shared" si="6"/>
        <v>3003.3333333333335</v>
      </c>
      <c r="T25" s="410">
        <f t="shared" si="6"/>
        <v>3003.3333333333335</v>
      </c>
      <c r="U25" s="410">
        <f t="shared" si="6"/>
        <v>3003.3333333333335</v>
      </c>
      <c r="V25" s="410">
        <f t="shared" si="6"/>
        <v>3003.3333333333335</v>
      </c>
      <c r="W25" s="410">
        <f t="shared" si="6"/>
        <v>3003.3333333333335</v>
      </c>
      <c r="X25" s="410">
        <f t="shared" si="6"/>
        <v>3003.3333333333335</v>
      </c>
      <c r="Y25" s="410">
        <f t="shared" si="6"/>
        <v>3003.3333333333335</v>
      </c>
      <c r="Z25" s="410">
        <f t="shared" si="6"/>
        <v>3003.3333333333335</v>
      </c>
      <c r="AA25" s="410">
        <f t="shared" si="6"/>
        <v>3003.3333333333335</v>
      </c>
      <c r="AB25" s="410">
        <f t="shared" si="6"/>
        <v>3003.3333333333335</v>
      </c>
      <c r="AC25" s="410">
        <f t="shared" si="6"/>
        <v>3003.3333333333335</v>
      </c>
      <c r="AD25" s="410">
        <f t="shared" si="6"/>
        <v>3003.3333333333335</v>
      </c>
      <c r="AE25" s="410">
        <f t="shared" si="6"/>
        <v>3003.3333333333335</v>
      </c>
      <c r="AF25" s="410">
        <f t="shared" si="6"/>
        <v>3003.3333333333335</v>
      </c>
      <c r="AG25" s="410">
        <f t="shared" si="6"/>
        <v>3003.3333333333335</v>
      </c>
      <c r="AH25" s="410">
        <f t="shared" si="6"/>
        <v>3003.3333333333335</v>
      </c>
      <c r="AI25" s="410">
        <f t="shared" si="6"/>
        <v>3003.3333333333335</v>
      </c>
      <c r="AJ25" s="410">
        <f t="shared" si="6"/>
        <v>3003.3333333333335</v>
      </c>
      <c r="AK25" s="410">
        <f t="shared" si="6"/>
        <v>3003.3333333333335</v>
      </c>
      <c r="AL25" s="410">
        <f t="shared" si="6"/>
        <v>3003.3333333333335</v>
      </c>
      <c r="AM25" s="410">
        <f t="shared" si="6"/>
        <v>3003.3333333333335</v>
      </c>
      <c r="AN25" s="410">
        <f t="shared" si="6"/>
        <v>3003.3333333333335</v>
      </c>
      <c r="AO25" s="410">
        <f t="shared" si="6"/>
        <v>3003.3333333333335</v>
      </c>
      <c r="AP25" s="410">
        <f t="shared" si="6"/>
        <v>3003.3333333333335</v>
      </c>
      <c r="AQ25" s="410">
        <f t="shared" si="6"/>
        <v>3003.3333333333335</v>
      </c>
      <c r="AR25" s="410">
        <f t="shared" si="6"/>
        <v>3003.3333333333335</v>
      </c>
      <c r="AS25" s="410">
        <f t="shared" si="6"/>
        <v>3003.3333333333335</v>
      </c>
      <c r="AT25" s="410">
        <f t="shared" si="6"/>
        <v>3003.3333333333335</v>
      </c>
      <c r="AU25" s="410">
        <f t="shared" si="6"/>
        <v>3003.3333333333335</v>
      </c>
      <c r="AV25" s="410">
        <f t="shared" si="6"/>
        <v>3003.3333333333335</v>
      </c>
      <c r="AW25" s="410">
        <f t="shared" si="6"/>
        <v>3003.3333333333335</v>
      </c>
      <c r="AX25" s="410">
        <f t="shared" si="6"/>
        <v>3003.3333333333335</v>
      </c>
      <c r="AY25" s="410">
        <f t="shared" si="6"/>
        <v>3003.3333333333335</v>
      </c>
      <c r="AZ25" s="410">
        <f t="shared" si="6"/>
        <v>3003.3333333333335</v>
      </c>
      <c r="BA25" s="410">
        <f t="shared" si="6"/>
        <v>3003.3333333333335</v>
      </c>
      <c r="BB25" s="410">
        <f t="shared" si="6"/>
        <v>3003.3333333333335</v>
      </c>
      <c r="BC25" s="410">
        <f t="shared" si="6"/>
        <v>3003.3333333333335</v>
      </c>
      <c r="BD25" s="410">
        <f t="shared" si="6"/>
        <v>3003.3333333333335</v>
      </c>
      <c r="BE25" s="410">
        <f t="shared" si="6"/>
        <v>3003.3333333333335</v>
      </c>
      <c r="BF25" s="410">
        <f t="shared" si="6"/>
        <v>3003.3333333333335</v>
      </c>
      <c r="BG25" s="410">
        <f t="shared" si="6"/>
        <v>3003.3333333333335</v>
      </c>
      <c r="BH25" s="410">
        <f t="shared" si="6"/>
        <v>3003.3333333333335</v>
      </c>
      <c r="BI25" s="410">
        <f t="shared" si="6"/>
        <v>3003.3333333333335</v>
      </c>
      <c r="BJ25" s="410">
        <f t="shared" si="6"/>
        <v>3003.3333333333335</v>
      </c>
      <c r="BK25" s="410">
        <f t="shared" si="6"/>
        <v>3003.3333333333335</v>
      </c>
      <c r="BL25" s="410">
        <f t="shared" si="6"/>
        <v>3003.3333333333335</v>
      </c>
      <c r="BM25" s="410">
        <f t="shared" si="6"/>
        <v>3003.3333333333335</v>
      </c>
      <c r="BN25" s="410">
        <f t="shared" si="6"/>
        <v>3003.3333333333335</v>
      </c>
      <c r="BO25" s="410">
        <f t="shared" si="6"/>
        <v>3003.3333333333335</v>
      </c>
      <c r="BP25" s="410">
        <f t="shared" si="6"/>
        <v>3003.3333333333335</v>
      </c>
      <c r="BQ25" s="410">
        <f t="shared" si="6"/>
        <v>3003.3333333333335</v>
      </c>
      <c r="BR25" s="410">
        <f t="shared" si="6"/>
        <v>3003.3333333333335</v>
      </c>
      <c r="BS25" s="410">
        <f t="shared" si="6"/>
        <v>3003.3333333333335</v>
      </c>
      <c r="BT25" s="410">
        <f t="shared" ref="BT25:CL25" si="7">$D$25*BT14</f>
        <v>3003.3333333333335</v>
      </c>
      <c r="BU25" s="410">
        <f t="shared" si="7"/>
        <v>3003.3333333333335</v>
      </c>
      <c r="BV25" s="410">
        <f t="shared" si="7"/>
        <v>3003.3333333333335</v>
      </c>
      <c r="BW25" s="410">
        <f t="shared" si="7"/>
        <v>3003.3333333333335</v>
      </c>
      <c r="BX25" s="410">
        <f t="shared" si="7"/>
        <v>3003.3333333333335</v>
      </c>
      <c r="BY25" s="410">
        <f t="shared" si="7"/>
        <v>3003.3333333333335</v>
      </c>
      <c r="BZ25" s="410">
        <f t="shared" si="7"/>
        <v>3003.3333333333335</v>
      </c>
      <c r="CA25" s="410">
        <f t="shared" si="7"/>
        <v>3003.3333333333335</v>
      </c>
      <c r="CB25" s="410">
        <f t="shared" si="7"/>
        <v>3003.3333333333335</v>
      </c>
      <c r="CC25" s="410">
        <f t="shared" si="7"/>
        <v>3003.3333333333335</v>
      </c>
      <c r="CD25" s="410">
        <f t="shared" si="7"/>
        <v>3003.3333333333335</v>
      </c>
      <c r="CE25" s="410">
        <f t="shared" si="7"/>
        <v>3003.3333333333335</v>
      </c>
      <c r="CF25" s="410">
        <f t="shared" si="7"/>
        <v>3003.3333333333335</v>
      </c>
      <c r="CG25" s="410">
        <f t="shared" si="7"/>
        <v>3003.3333333333335</v>
      </c>
      <c r="CH25" s="410">
        <f t="shared" si="7"/>
        <v>3003.3333333333335</v>
      </c>
      <c r="CI25" s="410">
        <f t="shared" si="7"/>
        <v>3003.3333333333335</v>
      </c>
      <c r="CJ25" s="410">
        <f t="shared" si="7"/>
        <v>3003.3333333333335</v>
      </c>
      <c r="CK25" s="410">
        <f t="shared" si="7"/>
        <v>3003.3333333333335</v>
      </c>
      <c r="CL25" s="410">
        <f t="shared" si="7"/>
        <v>3003.3333333333335</v>
      </c>
      <c r="CM25" s="410">
        <f t="shared" si="1"/>
        <v>3003.3333333333371</v>
      </c>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row>
    <row r="26" spans="1:178">
      <c r="A26" s="1050"/>
      <c r="B26" s="2" t="s">
        <v>309</v>
      </c>
      <c r="C26" s="362" t="s">
        <v>310</v>
      </c>
      <c r="D26" s="362">
        <v>0.18049999999999999</v>
      </c>
      <c r="E26" s="58"/>
      <c r="F26" s="382" t="s">
        <v>172</v>
      </c>
      <c r="G26" s="410">
        <f>$D$26*G15</f>
        <v>24232.125</v>
      </c>
      <c r="H26" s="410">
        <f t="shared" ref="H26:BS26" si="8">$D$26*H15</f>
        <v>24232.125</v>
      </c>
      <c r="I26" s="410">
        <f t="shared" si="8"/>
        <v>24232.125</v>
      </c>
      <c r="J26" s="410">
        <f t="shared" si="8"/>
        <v>24232.125</v>
      </c>
      <c r="K26" s="410">
        <f t="shared" si="8"/>
        <v>24232.125</v>
      </c>
      <c r="L26" s="410">
        <f t="shared" si="8"/>
        <v>24232.125</v>
      </c>
      <c r="M26" s="410">
        <f t="shared" si="8"/>
        <v>24232.125</v>
      </c>
      <c r="N26" s="410">
        <f t="shared" si="8"/>
        <v>24232.125</v>
      </c>
      <c r="O26" s="410">
        <f t="shared" si="8"/>
        <v>24232.125</v>
      </c>
      <c r="P26" s="410">
        <f t="shared" si="8"/>
        <v>24232.125</v>
      </c>
      <c r="Q26" s="410">
        <f t="shared" si="8"/>
        <v>24232.125</v>
      </c>
      <c r="R26" s="410">
        <f t="shared" si="8"/>
        <v>24232.125</v>
      </c>
      <c r="S26" s="410">
        <f t="shared" si="8"/>
        <v>24232.125</v>
      </c>
      <c r="T26" s="410">
        <f t="shared" si="8"/>
        <v>24232.125</v>
      </c>
      <c r="U26" s="410">
        <f t="shared" si="8"/>
        <v>24232.125</v>
      </c>
      <c r="V26" s="410">
        <f t="shared" si="8"/>
        <v>24232.125</v>
      </c>
      <c r="W26" s="410">
        <f t="shared" si="8"/>
        <v>24232.125</v>
      </c>
      <c r="X26" s="410">
        <f t="shared" si="8"/>
        <v>24232.125</v>
      </c>
      <c r="Y26" s="410">
        <f t="shared" si="8"/>
        <v>24232.125</v>
      </c>
      <c r="Z26" s="410">
        <f t="shared" si="8"/>
        <v>24232.125</v>
      </c>
      <c r="AA26" s="410">
        <f t="shared" si="8"/>
        <v>24232.125</v>
      </c>
      <c r="AB26" s="410">
        <f t="shared" si="8"/>
        <v>24232.125</v>
      </c>
      <c r="AC26" s="410">
        <f t="shared" si="8"/>
        <v>24232.125</v>
      </c>
      <c r="AD26" s="410">
        <f t="shared" si="8"/>
        <v>24232.125</v>
      </c>
      <c r="AE26" s="410">
        <f t="shared" si="8"/>
        <v>24232.125</v>
      </c>
      <c r="AF26" s="410">
        <f t="shared" si="8"/>
        <v>24232.125</v>
      </c>
      <c r="AG26" s="410">
        <f t="shared" si="8"/>
        <v>24232.125</v>
      </c>
      <c r="AH26" s="410">
        <f t="shared" si="8"/>
        <v>24232.125</v>
      </c>
      <c r="AI26" s="410">
        <f t="shared" si="8"/>
        <v>24232.125</v>
      </c>
      <c r="AJ26" s="410">
        <f t="shared" si="8"/>
        <v>24232.125</v>
      </c>
      <c r="AK26" s="410">
        <f t="shared" si="8"/>
        <v>24232.125</v>
      </c>
      <c r="AL26" s="410">
        <f t="shared" si="8"/>
        <v>24232.125</v>
      </c>
      <c r="AM26" s="410">
        <f t="shared" si="8"/>
        <v>24232.125</v>
      </c>
      <c r="AN26" s="410">
        <f t="shared" si="8"/>
        <v>24232.125</v>
      </c>
      <c r="AO26" s="410">
        <f t="shared" si="8"/>
        <v>24232.125</v>
      </c>
      <c r="AP26" s="410">
        <f t="shared" si="8"/>
        <v>24232.125</v>
      </c>
      <c r="AQ26" s="410">
        <f t="shared" si="8"/>
        <v>24232.125</v>
      </c>
      <c r="AR26" s="410">
        <f t="shared" si="8"/>
        <v>24232.125</v>
      </c>
      <c r="AS26" s="410">
        <f t="shared" si="8"/>
        <v>24232.125</v>
      </c>
      <c r="AT26" s="410">
        <f t="shared" si="8"/>
        <v>24232.125</v>
      </c>
      <c r="AU26" s="410">
        <f t="shared" si="8"/>
        <v>24232.125</v>
      </c>
      <c r="AV26" s="410">
        <f t="shared" si="8"/>
        <v>24232.125</v>
      </c>
      <c r="AW26" s="410">
        <f t="shared" si="8"/>
        <v>24232.125</v>
      </c>
      <c r="AX26" s="410">
        <f t="shared" si="8"/>
        <v>24232.125</v>
      </c>
      <c r="AY26" s="410">
        <f t="shared" si="8"/>
        <v>24232.125</v>
      </c>
      <c r="AZ26" s="410">
        <f t="shared" si="8"/>
        <v>24232.125</v>
      </c>
      <c r="BA26" s="410">
        <f t="shared" si="8"/>
        <v>24232.125</v>
      </c>
      <c r="BB26" s="410">
        <f t="shared" si="8"/>
        <v>24232.125</v>
      </c>
      <c r="BC26" s="410">
        <f t="shared" si="8"/>
        <v>24232.125</v>
      </c>
      <c r="BD26" s="410">
        <f t="shared" si="8"/>
        <v>24232.125</v>
      </c>
      <c r="BE26" s="410">
        <f t="shared" si="8"/>
        <v>24232.125</v>
      </c>
      <c r="BF26" s="410">
        <f t="shared" si="8"/>
        <v>24232.125</v>
      </c>
      <c r="BG26" s="410">
        <f t="shared" si="8"/>
        <v>24232.125</v>
      </c>
      <c r="BH26" s="410">
        <f t="shared" si="8"/>
        <v>24232.125</v>
      </c>
      <c r="BI26" s="410">
        <f t="shared" si="8"/>
        <v>24232.125</v>
      </c>
      <c r="BJ26" s="410">
        <f t="shared" si="8"/>
        <v>24232.125</v>
      </c>
      <c r="BK26" s="410">
        <f t="shared" si="8"/>
        <v>24232.125</v>
      </c>
      <c r="BL26" s="410">
        <f t="shared" si="8"/>
        <v>24232.125</v>
      </c>
      <c r="BM26" s="410">
        <f t="shared" si="8"/>
        <v>24232.125</v>
      </c>
      <c r="BN26" s="410">
        <f t="shared" si="8"/>
        <v>24232.125</v>
      </c>
      <c r="BO26" s="410">
        <f t="shared" si="8"/>
        <v>24232.125</v>
      </c>
      <c r="BP26" s="410">
        <f t="shared" si="8"/>
        <v>24232.125</v>
      </c>
      <c r="BQ26" s="410">
        <f t="shared" si="8"/>
        <v>24232.125</v>
      </c>
      <c r="BR26" s="410">
        <f t="shared" si="8"/>
        <v>24232.125</v>
      </c>
      <c r="BS26" s="410">
        <f t="shared" si="8"/>
        <v>24232.125</v>
      </c>
      <c r="BT26" s="410">
        <f t="shared" ref="BT26:CL26" si="9">$D$26*BT15</f>
        <v>24232.125</v>
      </c>
      <c r="BU26" s="410">
        <f t="shared" si="9"/>
        <v>24232.125</v>
      </c>
      <c r="BV26" s="410">
        <f t="shared" si="9"/>
        <v>24232.125</v>
      </c>
      <c r="BW26" s="410">
        <f t="shared" si="9"/>
        <v>24232.125</v>
      </c>
      <c r="BX26" s="410">
        <f t="shared" si="9"/>
        <v>24232.125</v>
      </c>
      <c r="BY26" s="410">
        <f t="shared" si="9"/>
        <v>24232.125</v>
      </c>
      <c r="BZ26" s="410">
        <f t="shared" si="9"/>
        <v>24232.125</v>
      </c>
      <c r="CA26" s="410">
        <f t="shared" si="9"/>
        <v>24232.125</v>
      </c>
      <c r="CB26" s="410">
        <f t="shared" si="9"/>
        <v>24232.125</v>
      </c>
      <c r="CC26" s="410">
        <f t="shared" si="9"/>
        <v>24232.125</v>
      </c>
      <c r="CD26" s="410">
        <f t="shared" si="9"/>
        <v>24232.125</v>
      </c>
      <c r="CE26" s="410">
        <f t="shared" si="9"/>
        <v>24232.125</v>
      </c>
      <c r="CF26" s="410">
        <f t="shared" si="9"/>
        <v>24232.125</v>
      </c>
      <c r="CG26" s="410">
        <f t="shared" si="9"/>
        <v>24232.125</v>
      </c>
      <c r="CH26" s="410">
        <f t="shared" si="9"/>
        <v>24232.125</v>
      </c>
      <c r="CI26" s="410">
        <f t="shared" si="9"/>
        <v>24232.125</v>
      </c>
      <c r="CJ26" s="410">
        <f t="shared" si="9"/>
        <v>24232.125</v>
      </c>
      <c r="CK26" s="410">
        <f t="shared" si="9"/>
        <v>24232.125</v>
      </c>
      <c r="CL26" s="410">
        <f t="shared" si="9"/>
        <v>24232.125</v>
      </c>
      <c r="CM26" s="410">
        <f t="shared" si="1"/>
        <v>24232.125</v>
      </c>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row>
    <row r="27" spans="1:178">
      <c r="A27" s="1050"/>
      <c r="B27" s="2" t="s">
        <v>309</v>
      </c>
      <c r="C27" s="362" t="s">
        <v>310</v>
      </c>
      <c r="D27" s="362">
        <v>1.8104</v>
      </c>
      <c r="E27" s="58"/>
      <c r="F27" s="382" t="s">
        <v>173</v>
      </c>
      <c r="G27" s="410">
        <f>$D$27*G16</f>
        <v>203312.72029164937</v>
      </c>
      <c r="H27" s="410">
        <f t="shared" ref="H27:BS27" si="10">$D$27*H16</f>
        <v>203312.72029164937</v>
      </c>
      <c r="I27" s="410">
        <f t="shared" si="10"/>
        <v>203312.72029164937</v>
      </c>
      <c r="J27" s="410">
        <f t="shared" si="10"/>
        <v>203312.72029164937</v>
      </c>
      <c r="K27" s="410">
        <f t="shared" si="10"/>
        <v>203312.72029164937</v>
      </c>
      <c r="L27" s="410">
        <f t="shared" si="10"/>
        <v>203312.72029164937</v>
      </c>
      <c r="M27" s="410">
        <f t="shared" si="10"/>
        <v>203312.72029164937</v>
      </c>
      <c r="N27" s="410">
        <f t="shared" si="10"/>
        <v>203312.72029164937</v>
      </c>
      <c r="O27" s="410">
        <f t="shared" si="10"/>
        <v>203312.72029164937</v>
      </c>
      <c r="P27" s="410">
        <f t="shared" si="10"/>
        <v>203312.72029164937</v>
      </c>
      <c r="Q27" s="410">
        <f t="shared" si="10"/>
        <v>203312.72029164937</v>
      </c>
      <c r="R27" s="410">
        <f t="shared" si="10"/>
        <v>203312.72029164937</v>
      </c>
      <c r="S27" s="410">
        <f t="shared" si="10"/>
        <v>203312.72029164937</v>
      </c>
      <c r="T27" s="410">
        <f t="shared" si="10"/>
        <v>203312.72029164937</v>
      </c>
      <c r="U27" s="410">
        <f t="shared" si="10"/>
        <v>203312.72029164937</v>
      </c>
      <c r="V27" s="410">
        <f t="shared" si="10"/>
        <v>203312.72029164937</v>
      </c>
      <c r="W27" s="410">
        <f t="shared" si="10"/>
        <v>203312.72029164937</v>
      </c>
      <c r="X27" s="410">
        <f t="shared" si="10"/>
        <v>203312.72029164937</v>
      </c>
      <c r="Y27" s="410">
        <f t="shared" si="10"/>
        <v>203312.72029164937</v>
      </c>
      <c r="Z27" s="410">
        <f t="shared" si="10"/>
        <v>203312.72029164937</v>
      </c>
      <c r="AA27" s="410">
        <f t="shared" si="10"/>
        <v>203312.72029164937</v>
      </c>
      <c r="AB27" s="410">
        <f t="shared" si="10"/>
        <v>203312.72029164937</v>
      </c>
      <c r="AC27" s="410">
        <f t="shared" si="10"/>
        <v>203312.72029164937</v>
      </c>
      <c r="AD27" s="410">
        <f t="shared" si="10"/>
        <v>203312.72029164937</v>
      </c>
      <c r="AE27" s="410">
        <f t="shared" si="10"/>
        <v>203312.72029164937</v>
      </c>
      <c r="AF27" s="410">
        <f t="shared" si="10"/>
        <v>203312.72029164937</v>
      </c>
      <c r="AG27" s="410">
        <f t="shared" si="10"/>
        <v>203312.72029164937</v>
      </c>
      <c r="AH27" s="410">
        <f t="shared" si="10"/>
        <v>203312.72029164937</v>
      </c>
      <c r="AI27" s="410">
        <f t="shared" si="10"/>
        <v>203312.72029164937</v>
      </c>
      <c r="AJ27" s="410">
        <f t="shared" si="10"/>
        <v>203312.72029164937</v>
      </c>
      <c r="AK27" s="410">
        <f t="shared" si="10"/>
        <v>203312.72029164937</v>
      </c>
      <c r="AL27" s="410">
        <f t="shared" si="10"/>
        <v>203312.72029164937</v>
      </c>
      <c r="AM27" s="410">
        <f t="shared" si="10"/>
        <v>203312.72029164937</v>
      </c>
      <c r="AN27" s="410">
        <f t="shared" si="10"/>
        <v>203312.72029164937</v>
      </c>
      <c r="AO27" s="410">
        <f t="shared" si="10"/>
        <v>203312.72029164937</v>
      </c>
      <c r="AP27" s="410">
        <f t="shared" si="10"/>
        <v>203312.72029164937</v>
      </c>
      <c r="AQ27" s="410">
        <f t="shared" si="10"/>
        <v>203312.72029164937</v>
      </c>
      <c r="AR27" s="410">
        <f t="shared" si="10"/>
        <v>203312.72029164937</v>
      </c>
      <c r="AS27" s="410">
        <f t="shared" si="10"/>
        <v>203312.72029164937</v>
      </c>
      <c r="AT27" s="410">
        <f t="shared" si="10"/>
        <v>203312.72029164937</v>
      </c>
      <c r="AU27" s="410">
        <f t="shared" si="10"/>
        <v>203312.72029164937</v>
      </c>
      <c r="AV27" s="410">
        <f t="shared" si="10"/>
        <v>203312.72029164937</v>
      </c>
      <c r="AW27" s="410">
        <f t="shared" si="10"/>
        <v>203312.72029164937</v>
      </c>
      <c r="AX27" s="410">
        <f t="shared" si="10"/>
        <v>203312.72029164937</v>
      </c>
      <c r="AY27" s="410">
        <f t="shared" si="10"/>
        <v>203312.72029164937</v>
      </c>
      <c r="AZ27" s="410">
        <f t="shared" si="10"/>
        <v>203312.72029164937</v>
      </c>
      <c r="BA27" s="410">
        <f t="shared" si="10"/>
        <v>203312.72029164937</v>
      </c>
      <c r="BB27" s="410">
        <f t="shared" si="10"/>
        <v>203312.72029164937</v>
      </c>
      <c r="BC27" s="410">
        <f t="shared" si="10"/>
        <v>203312.72029164937</v>
      </c>
      <c r="BD27" s="410">
        <f t="shared" si="10"/>
        <v>203312.72029164937</v>
      </c>
      <c r="BE27" s="410">
        <f t="shared" si="10"/>
        <v>203312.72029164937</v>
      </c>
      <c r="BF27" s="410">
        <f t="shared" si="10"/>
        <v>203312.72029164937</v>
      </c>
      <c r="BG27" s="410">
        <f t="shared" si="10"/>
        <v>203312.72029164937</v>
      </c>
      <c r="BH27" s="410">
        <f t="shared" si="10"/>
        <v>203312.72029164937</v>
      </c>
      <c r="BI27" s="410">
        <f t="shared" si="10"/>
        <v>203312.72029164937</v>
      </c>
      <c r="BJ27" s="410">
        <f t="shared" si="10"/>
        <v>203312.72029164937</v>
      </c>
      <c r="BK27" s="410">
        <f t="shared" si="10"/>
        <v>203312.72029164937</v>
      </c>
      <c r="BL27" s="410">
        <f t="shared" si="10"/>
        <v>203312.72029164937</v>
      </c>
      <c r="BM27" s="410">
        <f t="shared" si="10"/>
        <v>203312.72029164937</v>
      </c>
      <c r="BN27" s="410">
        <f t="shared" si="10"/>
        <v>203312.72029164937</v>
      </c>
      <c r="BO27" s="410">
        <f t="shared" si="10"/>
        <v>203312.72029164937</v>
      </c>
      <c r="BP27" s="410">
        <f t="shared" si="10"/>
        <v>203312.72029164937</v>
      </c>
      <c r="BQ27" s="410">
        <f t="shared" si="10"/>
        <v>203312.72029164937</v>
      </c>
      <c r="BR27" s="410">
        <f t="shared" si="10"/>
        <v>203312.72029164937</v>
      </c>
      <c r="BS27" s="410">
        <f t="shared" si="10"/>
        <v>203312.72029164937</v>
      </c>
      <c r="BT27" s="410">
        <f t="shared" ref="BT27:CL27" si="11">$D$27*BT16</f>
        <v>203312.72029164937</v>
      </c>
      <c r="BU27" s="410">
        <f t="shared" si="11"/>
        <v>203312.72029164937</v>
      </c>
      <c r="BV27" s="410">
        <f t="shared" si="11"/>
        <v>203312.72029164937</v>
      </c>
      <c r="BW27" s="410">
        <f t="shared" si="11"/>
        <v>203312.72029164937</v>
      </c>
      <c r="BX27" s="410">
        <f t="shared" si="11"/>
        <v>203312.72029164937</v>
      </c>
      <c r="BY27" s="410">
        <f t="shared" si="11"/>
        <v>203312.72029164937</v>
      </c>
      <c r="BZ27" s="410">
        <f t="shared" si="11"/>
        <v>203312.72029164937</v>
      </c>
      <c r="CA27" s="410">
        <f t="shared" si="11"/>
        <v>203312.72029164937</v>
      </c>
      <c r="CB27" s="410">
        <f t="shared" si="11"/>
        <v>203312.72029164937</v>
      </c>
      <c r="CC27" s="410">
        <f t="shared" si="11"/>
        <v>203312.72029164937</v>
      </c>
      <c r="CD27" s="410">
        <f t="shared" si="11"/>
        <v>203312.72029164937</v>
      </c>
      <c r="CE27" s="410">
        <f t="shared" si="11"/>
        <v>203312.72029164937</v>
      </c>
      <c r="CF27" s="410">
        <f t="shared" si="11"/>
        <v>203312.72029164937</v>
      </c>
      <c r="CG27" s="410">
        <f t="shared" si="11"/>
        <v>203312.72029164937</v>
      </c>
      <c r="CH27" s="410">
        <f t="shared" si="11"/>
        <v>203312.72029164937</v>
      </c>
      <c r="CI27" s="410">
        <f t="shared" si="11"/>
        <v>203312.72029164937</v>
      </c>
      <c r="CJ27" s="410">
        <f t="shared" si="11"/>
        <v>203312.72029164937</v>
      </c>
      <c r="CK27" s="410">
        <f t="shared" si="11"/>
        <v>203312.72029164937</v>
      </c>
      <c r="CL27" s="410">
        <f t="shared" si="11"/>
        <v>203312.72029164937</v>
      </c>
      <c r="CM27" s="410">
        <f t="shared" si="1"/>
        <v>203312.72029164952</v>
      </c>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row>
    <row r="28" spans="1:178">
      <c r="A28" s="1050"/>
      <c r="B28" s="2" t="s">
        <v>309</v>
      </c>
      <c r="C28" s="362" t="s">
        <v>142</v>
      </c>
      <c r="D28" s="362"/>
      <c r="E28" s="58"/>
      <c r="F28" s="413" t="s">
        <v>315</v>
      </c>
      <c r="G28" s="414">
        <f>(G29*G2+G30*G3+G31*G4+G32*G5)/SUM(G29:G32)</f>
        <v>26774.39079411425</v>
      </c>
      <c r="H28" s="414">
        <f t="shared" ref="H28:BS28" si="12">(H29*H2+H30*H3+H31*H4+H32*H5)/SUM(H29:H32)</f>
        <v>28595.407664030867</v>
      </c>
      <c r="I28" s="414">
        <f t="shared" si="12"/>
        <v>28484.438918544118</v>
      </c>
      <c r="J28" s="414">
        <f t="shared" si="12"/>
        <v>27471.735195197816</v>
      </c>
      <c r="K28" s="414">
        <f t="shared" si="12"/>
        <v>27770.763161636038</v>
      </c>
      <c r="L28" s="414">
        <f t="shared" si="12"/>
        <v>27976.364454841929</v>
      </c>
      <c r="M28" s="414">
        <f t="shared" si="12"/>
        <v>27989.3097425999</v>
      </c>
      <c r="N28" s="414">
        <f t="shared" si="12"/>
        <v>28356.049927670876</v>
      </c>
      <c r="O28" s="414">
        <f t="shared" si="12"/>
        <v>27162.125257683208</v>
      </c>
      <c r="P28" s="414">
        <f t="shared" si="12"/>
        <v>26840.814605816377</v>
      </c>
      <c r="Q28" s="414">
        <f t="shared" si="12"/>
        <v>26985.076430165722</v>
      </c>
      <c r="R28" s="414">
        <f t="shared" si="12"/>
        <v>27155.295506248771</v>
      </c>
      <c r="S28" s="414">
        <f t="shared" si="12"/>
        <v>27016.832144789711</v>
      </c>
      <c r="T28" s="414">
        <f t="shared" si="12"/>
        <v>27267.89980735023</v>
      </c>
      <c r="U28" s="414">
        <f t="shared" si="12"/>
        <v>24962.363186998766</v>
      </c>
      <c r="V28" s="414">
        <f t="shared" si="12"/>
        <v>24681.966242246421</v>
      </c>
      <c r="W28" s="414">
        <f t="shared" si="12"/>
        <v>24545.489141346457</v>
      </c>
      <c r="X28" s="414">
        <f t="shared" si="12"/>
        <v>24274.942209339151</v>
      </c>
      <c r="Y28" s="414">
        <f t="shared" si="12"/>
        <v>22251.888795487605</v>
      </c>
      <c r="Z28" s="414">
        <f t="shared" si="12"/>
        <v>22427.015785738517</v>
      </c>
      <c r="AA28" s="414">
        <f t="shared" si="12"/>
        <v>22519.041018927343</v>
      </c>
      <c r="AB28" s="414">
        <f t="shared" si="12"/>
        <v>22482.033786828339</v>
      </c>
      <c r="AC28" s="414">
        <f t="shared" si="12"/>
        <v>22333.839903521486</v>
      </c>
      <c r="AD28" s="414">
        <f t="shared" si="12"/>
        <v>22462.472616897798</v>
      </c>
      <c r="AE28" s="414">
        <f t="shared" si="12"/>
        <v>21090.761736118966</v>
      </c>
      <c r="AF28" s="414">
        <f t="shared" si="12"/>
        <v>21363.383091918666</v>
      </c>
      <c r="AG28" s="414">
        <f t="shared" si="12"/>
        <v>21547.302750286883</v>
      </c>
      <c r="AH28" s="414">
        <f t="shared" si="12"/>
        <v>22009.773877412459</v>
      </c>
      <c r="AI28" s="414">
        <f t="shared" si="12"/>
        <v>21911.072457429047</v>
      </c>
      <c r="AJ28" s="414">
        <f t="shared" si="12"/>
        <v>21284.349717182227</v>
      </c>
      <c r="AK28" s="414">
        <f t="shared" si="12"/>
        <v>21047.769088050496</v>
      </c>
      <c r="AL28" s="414">
        <f t="shared" si="12"/>
        <v>20810.395444221533</v>
      </c>
      <c r="AM28" s="414">
        <f t="shared" si="12"/>
        <v>20729.154899615034</v>
      </c>
      <c r="AN28" s="414">
        <f t="shared" si="12"/>
        <v>20600.963022948905</v>
      </c>
      <c r="AO28" s="414">
        <f t="shared" si="12"/>
        <v>20853.711339098834</v>
      </c>
      <c r="AP28" s="414">
        <f t="shared" si="12"/>
        <v>21197.874998168616</v>
      </c>
      <c r="AQ28" s="414">
        <f t="shared" si="12"/>
        <v>22747.695374793257</v>
      </c>
      <c r="AR28" s="414">
        <f t="shared" si="12"/>
        <v>22871.075882735779</v>
      </c>
      <c r="AS28" s="414">
        <f t="shared" si="12"/>
        <v>22810.719338275831</v>
      </c>
      <c r="AT28" s="414">
        <f t="shared" si="12"/>
        <v>22729.45738665534</v>
      </c>
      <c r="AU28" s="414">
        <f t="shared" si="12"/>
        <v>22804.15831066887</v>
      </c>
      <c r="AV28" s="414">
        <f t="shared" si="12"/>
        <v>22602.260874559317</v>
      </c>
      <c r="AW28" s="414">
        <f t="shared" si="12"/>
        <v>23384.037337852224</v>
      </c>
      <c r="AX28" s="414">
        <f t="shared" si="12"/>
        <v>24032.510876947603</v>
      </c>
      <c r="AY28" s="414">
        <f t="shared" si="12"/>
        <v>24171.876872506218</v>
      </c>
      <c r="AZ28" s="414">
        <f t="shared" si="12"/>
        <v>24386.420391069259</v>
      </c>
      <c r="BA28" s="414">
        <f t="shared" si="12"/>
        <v>24677.825340814106</v>
      </c>
      <c r="BB28" s="414">
        <f t="shared" si="12"/>
        <v>25375.181306408947</v>
      </c>
      <c r="BC28" s="414">
        <f t="shared" si="12"/>
        <v>26676.583755664</v>
      </c>
      <c r="BD28" s="414">
        <f t="shared" si="12"/>
        <v>25380.095273868465</v>
      </c>
      <c r="BE28" s="414">
        <f t="shared" si="12"/>
        <v>25178.087146231224</v>
      </c>
      <c r="BF28" s="414">
        <f t="shared" si="12"/>
        <v>24975.39897524966</v>
      </c>
      <c r="BG28" s="414">
        <f t="shared" si="12"/>
        <v>25050.217235706015</v>
      </c>
      <c r="BH28" s="414">
        <f t="shared" si="12"/>
        <v>24883.92356927288</v>
      </c>
      <c r="BI28" s="414">
        <f t="shared" si="12"/>
        <v>26049.173491840316</v>
      </c>
      <c r="BJ28" s="414">
        <f t="shared" si="12"/>
        <v>26013.504770311916</v>
      </c>
      <c r="BK28" s="414">
        <f t="shared" si="12"/>
        <v>25396.250083351722</v>
      </c>
      <c r="BL28" s="414">
        <f t="shared" si="12"/>
        <v>25236.66973613124</v>
      </c>
      <c r="BM28" s="414">
        <f t="shared" si="12"/>
        <v>25519.883535245732</v>
      </c>
      <c r="BN28" s="414">
        <f t="shared" si="12"/>
        <v>25569.269351334369</v>
      </c>
      <c r="BO28" s="414">
        <f t="shared" si="12"/>
        <v>24365.635322508377</v>
      </c>
      <c r="BP28" s="414">
        <f t="shared" si="12"/>
        <v>24683.870317200242</v>
      </c>
      <c r="BQ28" s="414">
        <f t="shared" si="12"/>
        <v>24709.600599410427</v>
      </c>
      <c r="BR28" s="414">
        <f t="shared" si="12"/>
        <v>24891.459642057162</v>
      </c>
      <c r="BS28" s="414">
        <f t="shared" si="12"/>
        <v>24559.550764007647</v>
      </c>
      <c r="BT28" s="414">
        <f t="shared" ref="BT28:CL28" si="13">(BT29*BT2+BT30*BT3+BT31*BT4+BT32*BT5)/SUM(BT29:BT32)</f>
        <v>24185.73054521317</v>
      </c>
      <c r="BU28" s="414">
        <f t="shared" si="13"/>
        <v>20417.563817311144</v>
      </c>
      <c r="BV28" s="414">
        <f t="shared" si="13"/>
        <v>21037.309477219918</v>
      </c>
      <c r="BW28" s="414">
        <f t="shared" si="13"/>
        <v>21581.288905613823</v>
      </c>
      <c r="BX28" s="414">
        <f t="shared" si="13"/>
        <v>21582.701619491054</v>
      </c>
      <c r="BY28" s="414">
        <f t="shared" si="13"/>
        <v>21566.942728755552</v>
      </c>
      <c r="BZ28" s="414">
        <f t="shared" si="13"/>
        <v>21648.763468987887</v>
      </c>
      <c r="CA28" s="414">
        <f t="shared" si="13"/>
        <v>19613.178000283559</v>
      </c>
      <c r="CB28" s="414">
        <f t="shared" si="13"/>
        <v>20011.468108828409</v>
      </c>
      <c r="CC28" s="414">
        <f t="shared" si="13"/>
        <v>20185.644949128571</v>
      </c>
      <c r="CD28" s="414">
        <f t="shared" si="13"/>
        <v>20534.608839932262</v>
      </c>
      <c r="CE28" s="414">
        <f t="shared" si="13"/>
        <v>20944.530476292497</v>
      </c>
      <c r="CF28" s="414">
        <f t="shared" si="13"/>
        <v>21071.327858542772</v>
      </c>
      <c r="CG28" s="414">
        <f t="shared" si="13"/>
        <v>20995.674893589297</v>
      </c>
      <c r="CH28" s="414">
        <f t="shared" si="13"/>
        <v>20813.625856563256</v>
      </c>
      <c r="CI28" s="414">
        <f t="shared" si="13"/>
        <v>21233.142939135221</v>
      </c>
      <c r="CJ28" s="414">
        <f t="shared" si="13"/>
        <v>21879.948888616771</v>
      </c>
      <c r="CK28" s="414">
        <f t="shared" si="13"/>
        <v>21851.668411820978</v>
      </c>
      <c r="CL28" s="414">
        <f t="shared" si="13"/>
        <v>22066.04407424539</v>
      </c>
      <c r="CM28" s="414">
        <f t="shared" si="1"/>
        <v>23668.900302889564</v>
      </c>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row>
    <row r="29" spans="1:178">
      <c r="A29" s="1050"/>
      <c r="B29" s="2" t="s">
        <v>309</v>
      </c>
      <c r="C29" s="362" t="s">
        <v>310</v>
      </c>
      <c r="D29" s="362">
        <v>0.622</v>
      </c>
      <c r="E29" s="58"/>
      <c r="F29" s="27" t="s">
        <v>174</v>
      </c>
      <c r="G29" s="411">
        <f>$D$29*G12</f>
        <v>29493.166666666664</v>
      </c>
      <c r="H29" s="411">
        <f t="shared" ref="H29:BS29" si="14">$D$29*H12</f>
        <v>29493.166666666664</v>
      </c>
      <c r="I29" s="411">
        <f t="shared" si="14"/>
        <v>29493.166666666664</v>
      </c>
      <c r="J29" s="411">
        <f t="shared" si="14"/>
        <v>29493.166666666664</v>
      </c>
      <c r="K29" s="411">
        <f t="shared" si="14"/>
        <v>29493.166666666664</v>
      </c>
      <c r="L29" s="411">
        <f t="shared" si="14"/>
        <v>29493.166666666664</v>
      </c>
      <c r="M29" s="411">
        <f t="shared" si="14"/>
        <v>29493.166666666664</v>
      </c>
      <c r="N29" s="411">
        <f t="shared" si="14"/>
        <v>29493.166666666664</v>
      </c>
      <c r="O29" s="411">
        <f t="shared" si="14"/>
        <v>29493.166666666664</v>
      </c>
      <c r="P29" s="411">
        <f t="shared" si="14"/>
        <v>29493.166666666664</v>
      </c>
      <c r="Q29" s="411">
        <f t="shared" si="14"/>
        <v>29493.166666666664</v>
      </c>
      <c r="R29" s="411">
        <f t="shared" si="14"/>
        <v>29493.166666666664</v>
      </c>
      <c r="S29" s="411">
        <f t="shared" si="14"/>
        <v>29493.166666666664</v>
      </c>
      <c r="T29" s="411">
        <f t="shared" si="14"/>
        <v>29493.166666666664</v>
      </c>
      <c r="U29" s="411">
        <f t="shared" si="14"/>
        <v>29493.166666666664</v>
      </c>
      <c r="V29" s="411">
        <f t="shared" si="14"/>
        <v>29493.166666666664</v>
      </c>
      <c r="W29" s="411">
        <f t="shared" si="14"/>
        <v>29493.166666666664</v>
      </c>
      <c r="X29" s="411">
        <f t="shared" si="14"/>
        <v>29493.166666666664</v>
      </c>
      <c r="Y29" s="411">
        <f t="shared" si="14"/>
        <v>29493.166666666664</v>
      </c>
      <c r="Z29" s="411">
        <f t="shared" si="14"/>
        <v>29493.166666666664</v>
      </c>
      <c r="AA29" s="411">
        <f t="shared" si="14"/>
        <v>29493.166666666664</v>
      </c>
      <c r="AB29" s="411">
        <f t="shared" si="14"/>
        <v>29493.166666666664</v>
      </c>
      <c r="AC29" s="411">
        <f t="shared" si="14"/>
        <v>29493.166666666664</v>
      </c>
      <c r="AD29" s="411">
        <f t="shared" si="14"/>
        <v>29493.166666666664</v>
      </c>
      <c r="AE29" s="411">
        <f t="shared" si="14"/>
        <v>29493.166666666664</v>
      </c>
      <c r="AF29" s="411">
        <f t="shared" si="14"/>
        <v>29493.166666666664</v>
      </c>
      <c r="AG29" s="411">
        <f t="shared" si="14"/>
        <v>29493.166666666664</v>
      </c>
      <c r="AH29" s="411">
        <f t="shared" si="14"/>
        <v>29493.166666666664</v>
      </c>
      <c r="AI29" s="411">
        <f t="shared" si="14"/>
        <v>29493.166666666664</v>
      </c>
      <c r="AJ29" s="411">
        <f t="shared" si="14"/>
        <v>29493.166666666664</v>
      </c>
      <c r="AK29" s="411">
        <f t="shared" si="14"/>
        <v>29493.166666666664</v>
      </c>
      <c r="AL29" s="411">
        <f t="shared" si="14"/>
        <v>29493.166666666664</v>
      </c>
      <c r="AM29" s="411">
        <f t="shared" si="14"/>
        <v>29493.166666666664</v>
      </c>
      <c r="AN29" s="411">
        <f t="shared" si="14"/>
        <v>29493.166666666664</v>
      </c>
      <c r="AO29" s="411">
        <f t="shared" si="14"/>
        <v>29493.166666666664</v>
      </c>
      <c r="AP29" s="411">
        <f t="shared" si="14"/>
        <v>29493.166666666664</v>
      </c>
      <c r="AQ29" s="411">
        <f t="shared" si="14"/>
        <v>29493.166666666664</v>
      </c>
      <c r="AR29" s="411">
        <f t="shared" si="14"/>
        <v>29493.166666666664</v>
      </c>
      <c r="AS29" s="411">
        <f t="shared" si="14"/>
        <v>29493.166666666664</v>
      </c>
      <c r="AT29" s="411">
        <f t="shared" si="14"/>
        <v>29493.166666666664</v>
      </c>
      <c r="AU29" s="411">
        <f t="shared" si="14"/>
        <v>29493.166666666664</v>
      </c>
      <c r="AV29" s="411">
        <f t="shared" si="14"/>
        <v>29493.166666666664</v>
      </c>
      <c r="AW29" s="411">
        <f t="shared" si="14"/>
        <v>29493.166666666664</v>
      </c>
      <c r="AX29" s="411">
        <f t="shared" si="14"/>
        <v>29493.166666666664</v>
      </c>
      <c r="AY29" s="411">
        <f t="shared" si="14"/>
        <v>29493.166666666664</v>
      </c>
      <c r="AZ29" s="411">
        <f t="shared" si="14"/>
        <v>29493.166666666664</v>
      </c>
      <c r="BA29" s="411">
        <f t="shared" si="14"/>
        <v>29493.166666666664</v>
      </c>
      <c r="BB29" s="411">
        <f t="shared" si="14"/>
        <v>29493.166666666664</v>
      </c>
      <c r="BC29" s="411">
        <f t="shared" si="14"/>
        <v>29493.166666666664</v>
      </c>
      <c r="BD29" s="411">
        <f t="shared" si="14"/>
        <v>29493.166666666664</v>
      </c>
      <c r="BE29" s="411">
        <f t="shared" si="14"/>
        <v>29493.166666666664</v>
      </c>
      <c r="BF29" s="411">
        <f t="shared" si="14"/>
        <v>29493.166666666664</v>
      </c>
      <c r="BG29" s="411">
        <f t="shared" si="14"/>
        <v>29493.166666666664</v>
      </c>
      <c r="BH29" s="411">
        <f t="shared" si="14"/>
        <v>29493.166666666664</v>
      </c>
      <c r="BI29" s="411">
        <f t="shared" si="14"/>
        <v>29493.166666666664</v>
      </c>
      <c r="BJ29" s="411">
        <f t="shared" si="14"/>
        <v>29493.166666666664</v>
      </c>
      <c r="BK29" s="411">
        <f t="shared" si="14"/>
        <v>29493.166666666664</v>
      </c>
      <c r="BL29" s="411">
        <f t="shared" si="14"/>
        <v>29493.166666666664</v>
      </c>
      <c r="BM29" s="411">
        <f t="shared" si="14"/>
        <v>29493.166666666664</v>
      </c>
      <c r="BN29" s="411">
        <f t="shared" si="14"/>
        <v>29493.166666666664</v>
      </c>
      <c r="BO29" s="411">
        <f t="shared" si="14"/>
        <v>29493.166666666664</v>
      </c>
      <c r="BP29" s="411">
        <f t="shared" si="14"/>
        <v>29493.166666666664</v>
      </c>
      <c r="BQ29" s="411">
        <f t="shared" si="14"/>
        <v>29493.166666666664</v>
      </c>
      <c r="BR29" s="411">
        <f t="shared" si="14"/>
        <v>29493.166666666664</v>
      </c>
      <c r="BS29" s="411">
        <f t="shared" si="14"/>
        <v>29493.166666666664</v>
      </c>
      <c r="BT29" s="411">
        <f t="shared" ref="BT29:CL29" si="15">$D$29*BT12</f>
        <v>29493.166666666664</v>
      </c>
      <c r="BU29" s="411">
        <f t="shared" si="15"/>
        <v>29493.166666666664</v>
      </c>
      <c r="BV29" s="411">
        <f t="shared" si="15"/>
        <v>29493.166666666664</v>
      </c>
      <c r="BW29" s="411">
        <f t="shared" si="15"/>
        <v>29493.166666666664</v>
      </c>
      <c r="BX29" s="411">
        <f t="shared" si="15"/>
        <v>29493.166666666664</v>
      </c>
      <c r="BY29" s="411">
        <f t="shared" si="15"/>
        <v>29493.166666666664</v>
      </c>
      <c r="BZ29" s="411">
        <f t="shared" si="15"/>
        <v>29493.166666666664</v>
      </c>
      <c r="CA29" s="411">
        <f t="shared" si="15"/>
        <v>29493.166666666664</v>
      </c>
      <c r="CB29" s="411">
        <f t="shared" si="15"/>
        <v>29493.166666666664</v>
      </c>
      <c r="CC29" s="411">
        <f t="shared" si="15"/>
        <v>29493.166666666664</v>
      </c>
      <c r="CD29" s="411">
        <f t="shared" si="15"/>
        <v>29493.166666666664</v>
      </c>
      <c r="CE29" s="411">
        <f t="shared" si="15"/>
        <v>29493.166666666664</v>
      </c>
      <c r="CF29" s="411">
        <f t="shared" si="15"/>
        <v>29493.166666666664</v>
      </c>
      <c r="CG29" s="411">
        <f t="shared" si="15"/>
        <v>29493.166666666664</v>
      </c>
      <c r="CH29" s="411">
        <f t="shared" si="15"/>
        <v>29493.166666666664</v>
      </c>
      <c r="CI29" s="411">
        <f t="shared" si="15"/>
        <v>29493.166666666664</v>
      </c>
      <c r="CJ29" s="411">
        <f t="shared" si="15"/>
        <v>29493.166666666664</v>
      </c>
      <c r="CK29" s="411">
        <f t="shared" si="15"/>
        <v>29493.166666666664</v>
      </c>
      <c r="CL29" s="411">
        <f t="shared" si="15"/>
        <v>29493.166666666664</v>
      </c>
      <c r="CM29" s="411">
        <f t="shared" si="1"/>
        <v>29493.166666666672</v>
      </c>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row>
    <row r="30" spans="1:178">
      <c r="A30" s="1050"/>
      <c r="B30" s="2" t="s">
        <v>309</v>
      </c>
      <c r="C30" s="362" t="s">
        <v>310</v>
      </c>
      <c r="D30" s="362">
        <v>1.4999999999999999E-2</v>
      </c>
      <c r="E30" s="58"/>
      <c r="F30" s="27" t="s">
        <v>175</v>
      </c>
      <c r="G30" s="411">
        <f>$D$30*G13</f>
        <v>871.25</v>
      </c>
      <c r="H30" s="411">
        <f t="shared" ref="H30:BS30" si="16">$D$30*H13</f>
        <v>871.25</v>
      </c>
      <c r="I30" s="411">
        <f t="shared" si="16"/>
        <v>871.25</v>
      </c>
      <c r="J30" s="411">
        <f t="shared" si="16"/>
        <v>871.25</v>
      </c>
      <c r="K30" s="411">
        <f t="shared" si="16"/>
        <v>871.25</v>
      </c>
      <c r="L30" s="411">
        <f t="shared" si="16"/>
        <v>871.25</v>
      </c>
      <c r="M30" s="411">
        <f t="shared" si="16"/>
        <v>871.25</v>
      </c>
      <c r="N30" s="411">
        <f t="shared" si="16"/>
        <v>871.25</v>
      </c>
      <c r="O30" s="411">
        <f t="shared" si="16"/>
        <v>871.25</v>
      </c>
      <c r="P30" s="411">
        <f t="shared" si="16"/>
        <v>871.25</v>
      </c>
      <c r="Q30" s="411">
        <f t="shared" si="16"/>
        <v>871.25</v>
      </c>
      <c r="R30" s="411">
        <f t="shared" si="16"/>
        <v>871.25</v>
      </c>
      <c r="S30" s="411">
        <f t="shared" si="16"/>
        <v>871.25</v>
      </c>
      <c r="T30" s="411">
        <f t="shared" si="16"/>
        <v>871.25</v>
      </c>
      <c r="U30" s="411">
        <f t="shared" si="16"/>
        <v>871.25</v>
      </c>
      <c r="V30" s="411">
        <f t="shared" si="16"/>
        <v>871.25</v>
      </c>
      <c r="W30" s="411">
        <f t="shared" si="16"/>
        <v>871.25</v>
      </c>
      <c r="X30" s="411">
        <f t="shared" si="16"/>
        <v>871.25</v>
      </c>
      <c r="Y30" s="411">
        <f t="shared" si="16"/>
        <v>871.25</v>
      </c>
      <c r="Z30" s="411">
        <f t="shared" si="16"/>
        <v>871.25</v>
      </c>
      <c r="AA30" s="411">
        <f t="shared" si="16"/>
        <v>871.25</v>
      </c>
      <c r="AB30" s="411">
        <f t="shared" si="16"/>
        <v>871.25</v>
      </c>
      <c r="AC30" s="411">
        <f t="shared" si="16"/>
        <v>871.25</v>
      </c>
      <c r="AD30" s="411">
        <f t="shared" si="16"/>
        <v>871.25</v>
      </c>
      <c r="AE30" s="411">
        <f t="shared" si="16"/>
        <v>871.25</v>
      </c>
      <c r="AF30" s="411">
        <f t="shared" si="16"/>
        <v>871.25</v>
      </c>
      <c r="AG30" s="411">
        <f t="shared" si="16"/>
        <v>871.25</v>
      </c>
      <c r="AH30" s="411">
        <f t="shared" si="16"/>
        <v>871.25</v>
      </c>
      <c r="AI30" s="411">
        <f t="shared" si="16"/>
        <v>871.25</v>
      </c>
      <c r="AJ30" s="411">
        <f t="shared" si="16"/>
        <v>871.25</v>
      </c>
      <c r="AK30" s="411">
        <f t="shared" si="16"/>
        <v>871.25</v>
      </c>
      <c r="AL30" s="411">
        <f t="shared" si="16"/>
        <v>871.25</v>
      </c>
      <c r="AM30" s="411">
        <f t="shared" si="16"/>
        <v>871.25</v>
      </c>
      <c r="AN30" s="411">
        <f t="shared" si="16"/>
        <v>871.25</v>
      </c>
      <c r="AO30" s="411">
        <f t="shared" si="16"/>
        <v>871.25</v>
      </c>
      <c r="AP30" s="411">
        <f t="shared" si="16"/>
        <v>871.25</v>
      </c>
      <c r="AQ30" s="411">
        <f t="shared" si="16"/>
        <v>871.25</v>
      </c>
      <c r="AR30" s="411">
        <f t="shared" si="16"/>
        <v>871.25</v>
      </c>
      <c r="AS30" s="411">
        <f t="shared" si="16"/>
        <v>871.25</v>
      </c>
      <c r="AT30" s="411">
        <f t="shared" si="16"/>
        <v>871.25</v>
      </c>
      <c r="AU30" s="411">
        <f t="shared" si="16"/>
        <v>871.25</v>
      </c>
      <c r="AV30" s="411">
        <f t="shared" si="16"/>
        <v>871.25</v>
      </c>
      <c r="AW30" s="411">
        <f t="shared" si="16"/>
        <v>871.25</v>
      </c>
      <c r="AX30" s="411">
        <f t="shared" si="16"/>
        <v>871.25</v>
      </c>
      <c r="AY30" s="411">
        <f t="shared" si="16"/>
        <v>871.25</v>
      </c>
      <c r="AZ30" s="411">
        <f t="shared" si="16"/>
        <v>871.25</v>
      </c>
      <c r="BA30" s="411">
        <f t="shared" si="16"/>
        <v>871.25</v>
      </c>
      <c r="BB30" s="411">
        <f t="shared" si="16"/>
        <v>871.25</v>
      </c>
      <c r="BC30" s="411">
        <f t="shared" si="16"/>
        <v>871.25</v>
      </c>
      <c r="BD30" s="411">
        <f t="shared" si="16"/>
        <v>871.25</v>
      </c>
      <c r="BE30" s="411">
        <f t="shared" si="16"/>
        <v>871.25</v>
      </c>
      <c r="BF30" s="411">
        <f t="shared" si="16"/>
        <v>871.25</v>
      </c>
      <c r="BG30" s="411">
        <f t="shared" si="16"/>
        <v>871.25</v>
      </c>
      <c r="BH30" s="411">
        <f t="shared" si="16"/>
        <v>871.25</v>
      </c>
      <c r="BI30" s="411">
        <f t="shared" si="16"/>
        <v>871.25</v>
      </c>
      <c r="BJ30" s="411">
        <f t="shared" si="16"/>
        <v>871.25</v>
      </c>
      <c r="BK30" s="411">
        <f t="shared" si="16"/>
        <v>871.25</v>
      </c>
      <c r="BL30" s="411">
        <f t="shared" si="16"/>
        <v>871.25</v>
      </c>
      <c r="BM30" s="411">
        <f t="shared" si="16"/>
        <v>871.25</v>
      </c>
      <c r="BN30" s="411">
        <f t="shared" si="16"/>
        <v>871.25</v>
      </c>
      <c r="BO30" s="411">
        <f t="shared" si="16"/>
        <v>871.25</v>
      </c>
      <c r="BP30" s="411">
        <f t="shared" si="16"/>
        <v>871.25</v>
      </c>
      <c r="BQ30" s="411">
        <f t="shared" si="16"/>
        <v>871.25</v>
      </c>
      <c r="BR30" s="411">
        <f t="shared" si="16"/>
        <v>871.25</v>
      </c>
      <c r="BS30" s="411">
        <f t="shared" si="16"/>
        <v>871.25</v>
      </c>
      <c r="BT30" s="411">
        <f t="shared" ref="BT30:CL30" si="17">$D$30*BT13</f>
        <v>871.25</v>
      </c>
      <c r="BU30" s="411">
        <f t="shared" si="17"/>
        <v>871.25</v>
      </c>
      <c r="BV30" s="411">
        <f t="shared" si="17"/>
        <v>871.25</v>
      </c>
      <c r="BW30" s="411">
        <f t="shared" si="17"/>
        <v>871.25</v>
      </c>
      <c r="BX30" s="411">
        <f t="shared" si="17"/>
        <v>871.25</v>
      </c>
      <c r="BY30" s="411">
        <f t="shared" si="17"/>
        <v>871.25</v>
      </c>
      <c r="BZ30" s="411">
        <f t="shared" si="17"/>
        <v>871.25</v>
      </c>
      <c r="CA30" s="411">
        <f t="shared" si="17"/>
        <v>871.25</v>
      </c>
      <c r="CB30" s="411">
        <f t="shared" si="17"/>
        <v>871.25</v>
      </c>
      <c r="CC30" s="411">
        <f t="shared" si="17"/>
        <v>871.25</v>
      </c>
      <c r="CD30" s="411">
        <f t="shared" si="17"/>
        <v>871.25</v>
      </c>
      <c r="CE30" s="411">
        <f t="shared" si="17"/>
        <v>871.25</v>
      </c>
      <c r="CF30" s="411">
        <f t="shared" si="17"/>
        <v>871.25</v>
      </c>
      <c r="CG30" s="411">
        <f t="shared" si="17"/>
        <v>871.25</v>
      </c>
      <c r="CH30" s="411">
        <f t="shared" si="17"/>
        <v>871.25</v>
      </c>
      <c r="CI30" s="411">
        <f t="shared" si="17"/>
        <v>871.25</v>
      </c>
      <c r="CJ30" s="411">
        <f t="shared" si="17"/>
        <v>871.25</v>
      </c>
      <c r="CK30" s="411">
        <f t="shared" si="17"/>
        <v>871.25</v>
      </c>
      <c r="CL30" s="411">
        <f t="shared" si="17"/>
        <v>871.25</v>
      </c>
      <c r="CM30" s="411">
        <f t="shared" si="1"/>
        <v>871.25</v>
      </c>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row>
    <row r="31" spans="1:178">
      <c r="A31" s="1050"/>
      <c r="B31" s="2" t="s">
        <v>309</v>
      </c>
      <c r="C31" s="362" t="s">
        <v>310</v>
      </c>
      <c r="D31" s="362">
        <v>1.9E-2</v>
      </c>
      <c r="E31" s="58"/>
      <c r="F31" s="27" t="s">
        <v>176</v>
      </c>
      <c r="G31" s="411">
        <f>$D$31*G14</f>
        <v>215.33333333333334</v>
      </c>
      <c r="H31" s="411">
        <f t="shared" ref="H31:BS31" si="18">$D$31*H14</f>
        <v>215.33333333333334</v>
      </c>
      <c r="I31" s="411">
        <f t="shared" si="18"/>
        <v>215.33333333333334</v>
      </c>
      <c r="J31" s="411">
        <f t="shared" si="18"/>
        <v>215.33333333333334</v>
      </c>
      <c r="K31" s="411">
        <f t="shared" si="18"/>
        <v>215.33333333333334</v>
      </c>
      <c r="L31" s="411">
        <f t="shared" si="18"/>
        <v>215.33333333333334</v>
      </c>
      <c r="M31" s="411">
        <f t="shared" si="18"/>
        <v>215.33333333333334</v>
      </c>
      <c r="N31" s="411">
        <f t="shared" si="18"/>
        <v>215.33333333333334</v>
      </c>
      <c r="O31" s="411">
        <f t="shared" si="18"/>
        <v>215.33333333333334</v>
      </c>
      <c r="P31" s="411">
        <f t="shared" si="18"/>
        <v>215.33333333333334</v>
      </c>
      <c r="Q31" s="411">
        <f t="shared" si="18"/>
        <v>215.33333333333334</v>
      </c>
      <c r="R31" s="411">
        <f t="shared" si="18"/>
        <v>215.33333333333334</v>
      </c>
      <c r="S31" s="411">
        <f t="shared" si="18"/>
        <v>215.33333333333334</v>
      </c>
      <c r="T31" s="411">
        <f t="shared" si="18"/>
        <v>215.33333333333334</v>
      </c>
      <c r="U31" s="411">
        <f t="shared" si="18"/>
        <v>215.33333333333334</v>
      </c>
      <c r="V31" s="411">
        <f t="shared" si="18"/>
        <v>215.33333333333334</v>
      </c>
      <c r="W31" s="411">
        <f t="shared" si="18"/>
        <v>215.33333333333334</v>
      </c>
      <c r="X31" s="411">
        <f t="shared" si="18"/>
        <v>215.33333333333334</v>
      </c>
      <c r="Y31" s="411">
        <f t="shared" si="18"/>
        <v>215.33333333333334</v>
      </c>
      <c r="Z31" s="411">
        <f t="shared" si="18"/>
        <v>215.33333333333334</v>
      </c>
      <c r="AA31" s="411">
        <f t="shared" si="18"/>
        <v>215.33333333333334</v>
      </c>
      <c r="AB31" s="411">
        <f t="shared" si="18"/>
        <v>215.33333333333334</v>
      </c>
      <c r="AC31" s="411">
        <f t="shared" si="18"/>
        <v>215.33333333333334</v>
      </c>
      <c r="AD31" s="411">
        <f t="shared" si="18"/>
        <v>215.33333333333334</v>
      </c>
      <c r="AE31" s="411">
        <f t="shared" si="18"/>
        <v>215.33333333333334</v>
      </c>
      <c r="AF31" s="411">
        <f t="shared" si="18"/>
        <v>215.33333333333334</v>
      </c>
      <c r="AG31" s="411">
        <f t="shared" si="18"/>
        <v>215.33333333333334</v>
      </c>
      <c r="AH31" s="411">
        <f t="shared" si="18"/>
        <v>215.33333333333334</v>
      </c>
      <c r="AI31" s="411">
        <f t="shared" si="18"/>
        <v>215.33333333333334</v>
      </c>
      <c r="AJ31" s="411">
        <f t="shared" si="18"/>
        <v>215.33333333333334</v>
      </c>
      <c r="AK31" s="411">
        <f t="shared" si="18"/>
        <v>215.33333333333334</v>
      </c>
      <c r="AL31" s="411">
        <f t="shared" si="18"/>
        <v>215.33333333333334</v>
      </c>
      <c r="AM31" s="411">
        <f t="shared" si="18"/>
        <v>215.33333333333334</v>
      </c>
      <c r="AN31" s="411">
        <f t="shared" si="18"/>
        <v>215.33333333333334</v>
      </c>
      <c r="AO31" s="411">
        <f t="shared" si="18"/>
        <v>215.33333333333334</v>
      </c>
      <c r="AP31" s="411">
        <f t="shared" si="18"/>
        <v>215.33333333333334</v>
      </c>
      <c r="AQ31" s="411">
        <f t="shared" si="18"/>
        <v>215.33333333333334</v>
      </c>
      <c r="AR31" s="411">
        <f t="shared" si="18"/>
        <v>215.33333333333334</v>
      </c>
      <c r="AS31" s="411">
        <f t="shared" si="18"/>
        <v>215.33333333333334</v>
      </c>
      <c r="AT31" s="411">
        <f t="shared" si="18"/>
        <v>215.33333333333334</v>
      </c>
      <c r="AU31" s="411">
        <f t="shared" si="18"/>
        <v>215.33333333333334</v>
      </c>
      <c r="AV31" s="411">
        <f t="shared" si="18"/>
        <v>215.33333333333334</v>
      </c>
      <c r="AW31" s="411">
        <f t="shared" si="18"/>
        <v>215.33333333333334</v>
      </c>
      <c r="AX31" s="411">
        <f t="shared" si="18"/>
        <v>215.33333333333334</v>
      </c>
      <c r="AY31" s="411">
        <f t="shared" si="18"/>
        <v>215.33333333333334</v>
      </c>
      <c r="AZ31" s="411">
        <f t="shared" si="18"/>
        <v>215.33333333333334</v>
      </c>
      <c r="BA31" s="411">
        <f t="shared" si="18"/>
        <v>215.33333333333334</v>
      </c>
      <c r="BB31" s="411">
        <f t="shared" si="18"/>
        <v>215.33333333333334</v>
      </c>
      <c r="BC31" s="411">
        <f t="shared" si="18"/>
        <v>215.33333333333334</v>
      </c>
      <c r="BD31" s="411">
        <f t="shared" si="18"/>
        <v>215.33333333333334</v>
      </c>
      <c r="BE31" s="411">
        <f t="shared" si="18"/>
        <v>215.33333333333334</v>
      </c>
      <c r="BF31" s="411">
        <f t="shared" si="18"/>
        <v>215.33333333333334</v>
      </c>
      <c r="BG31" s="411">
        <f t="shared" si="18"/>
        <v>215.33333333333334</v>
      </c>
      <c r="BH31" s="411">
        <f t="shared" si="18"/>
        <v>215.33333333333334</v>
      </c>
      <c r="BI31" s="411">
        <f t="shared" si="18"/>
        <v>215.33333333333334</v>
      </c>
      <c r="BJ31" s="411">
        <f t="shared" si="18"/>
        <v>215.33333333333334</v>
      </c>
      <c r="BK31" s="411">
        <f t="shared" si="18"/>
        <v>215.33333333333334</v>
      </c>
      <c r="BL31" s="411">
        <f t="shared" si="18"/>
        <v>215.33333333333334</v>
      </c>
      <c r="BM31" s="411">
        <f t="shared" si="18"/>
        <v>215.33333333333334</v>
      </c>
      <c r="BN31" s="411">
        <f t="shared" si="18"/>
        <v>215.33333333333334</v>
      </c>
      <c r="BO31" s="411">
        <f t="shared" si="18"/>
        <v>215.33333333333334</v>
      </c>
      <c r="BP31" s="411">
        <f t="shared" si="18"/>
        <v>215.33333333333334</v>
      </c>
      <c r="BQ31" s="411">
        <f t="shared" si="18"/>
        <v>215.33333333333334</v>
      </c>
      <c r="BR31" s="411">
        <f t="shared" si="18"/>
        <v>215.33333333333334</v>
      </c>
      <c r="BS31" s="411">
        <f t="shared" si="18"/>
        <v>215.33333333333334</v>
      </c>
      <c r="BT31" s="411">
        <f t="shared" ref="BT31:CL31" si="19">$D$31*BT14</f>
        <v>215.33333333333334</v>
      </c>
      <c r="BU31" s="411">
        <f t="shared" si="19"/>
        <v>215.33333333333334</v>
      </c>
      <c r="BV31" s="411">
        <f t="shared" si="19"/>
        <v>215.33333333333334</v>
      </c>
      <c r="BW31" s="411">
        <f t="shared" si="19"/>
        <v>215.33333333333334</v>
      </c>
      <c r="BX31" s="411">
        <f t="shared" si="19"/>
        <v>215.33333333333334</v>
      </c>
      <c r="BY31" s="411">
        <f t="shared" si="19"/>
        <v>215.33333333333334</v>
      </c>
      <c r="BZ31" s="411">
        <f t="shared" si="19"/>
        <v>215.33333333333334</v>
      </c>
      <c r="CA31" s="411">
        <f t="shared" si="19"/>
        <v>215.33333333333334</v>
      </c>
      <c r="CB31" s="411">
        <f t="shared" si="19"/>
        <v>215.33333333333334</v>
      </c>
      <c r="CC31" s="411">
        <f t="shared" si="19"/>
        <v>215.33333333333334</v>
      </c>
      <c r="CD31" s="411">
        <f t="shared" si="19"/>
        <v>215.33333333333334</v>
      </c>
      <c r="CE31" s="411">
        <f t="shared" si="19"/>
        <v>215.33333333333334</v>
      </c>
      <c r="CF31" s="411">
        <f t="shared" si="19"/>
        <v>215.33333333333334</v>
      </c>
      <c r="CG31" s="411">
        <f t="shared" si="19"/>
        <v>215.33333333333334</v>
      </c>
      <c r="CH31" s="411">
        <f t="shared" si="19"/>
        <v>215.33333333333334</v>
      </c>
      <c r="CI31" s="411">
        <f t="shared" si="19"/>
        <v>215.33333333333334</v>
      </c>
      <c r="CJ31" s="411">
        <f t="shared" si="19"/>
        <v>215.33333333333334</v>
      </c>
      <c r="CK31" s="411">
        <f t="shared" si="19"/>
        <v>215.33333333333334</v>
      </c>
      <c r="CL31" s="411">
        <f t="shared" si="19"/>
        <v>215.33333333333334</v>
      </c>
      <c r="CM31" s="411">
        <f t="shared" si="1"/>
        <v>215.33333333333346</v>
      </c>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row>
    <row r="32" spans="1:178">
      <c r="A32" s="1050"/>
      <c r="B32" s="2" t="s">
        <v>309</v>
      </c>
      <c r="C32" s="362" t="s">
        <v>310</v>
      </c>
      <c r="D32" s="362">
        <v>1.1900000000000001E-2</v>
      </c>
      <c r="E32" s="58"/>
      <c r="F32" s="27" t="s">
        <v>177</v>
      </c>
      <c r="G32" s="411">
        <f>$D$32*G15</f>
        <v>1597.575</v>
      </c>
      <c r="H32" s="411">
        <f t="shared" ref="H32:BS32" si="20">$D$32*H15</f>
        <v>1597.575</v>
      </c>
      <c r="I32" s="411">
        <f t="shared" si="20"/>
        <v>1597.575</v>
      </c>
      <c r="J32" s="411">
        <f t="shared" si="20"/>
        <v>1597.575</v>
      </c>
      <c r="K32" s="411">
        <f t="shared" si="20"/>
        <v>1597.575</v>
      </c>
      <c r="L32" s="411">
        <f t="shared" si="20"/>
        <v>1597.575</v>
      </c>
      <c r="M32" s="411">
        <f t="shared" si="20"/>
        <v>1597.575</v>
      </c>
      <c r="N32" s="411">
        <f t="shared" si="20"/>
        <v>1597.575</v>
      </c>
      <c r="O32" s="411">
        <f t="shared" si="20"/>
        <v>1597.575</v>
      </c>
      <c r="P32" s="411">
        <f t="shared" si="20"/>
        <v>1597.575</v>
      </c>
      <c r="Q32" s="411">
        <f t="shared" si="20"/>
        <v>1597.575</v>
      </c>
      <c r="R32" s="411">
        <f t="shared" si="20"/>
        <v>1597.575</v>
      </c>
      <c r="S32" s="411">
        <f t="shared" si="20"/>
        <v>1597.575</v>
      </c>
      <c r="T32" s="411">
        <f t="shared" si="20"/>
        <v>1597.575</v>
      </c>
      <c r="U32" s="411">
        <f t="shared" si="20"/>
        <v>1597.575</v>
      </c>
      <c r="V32" s="411">
        <f t="shared" si="20"/>
        <v>1597.575</v>
      </c>
      <c r="W32" s="411">
        <f t="shared" si="20"/>
        <v>1597.575</v>
      </c>
      <c r="X32" s="411">
        <f t="shared" si="20"/>
        <v>1597.575</v>
      </c>
      <c r="Y32" s="411">
        <f t="shared" si="20"/>
        <v>1597.575</v>
      </c>
      <c r="Z32" s="411">
        <f t="shared" si="20"/>
        <v>1597.575</v>
      </c>
      <c r="AA32" s="411">
        <f t="shared" si="20"/>
        <v>1597.575</v>
      </c>
      <c r="AB32" s="411">
        <f t="shared" si="20"/>
        <v>1597.575</v>
      </c>
      <c r="AC32" s="411">
        <f t="shared" si="20"/>
        <v>1597.575</v>
      </c>
      <c r="AD32" s="411">
        <f t="shared" si="20"/>
        <v>1597.575</v>
      </c>
      <c r="AE32" s="411">
        <f t="shared" si="20"/>
        <v>1597.575</v>
      </c>
      <c r="AF32" s="411">
        <f t="shared" si="20"/>
        <v>1597.575</v>
      </c>
      <c r="AG32" s="411">
        <f t="shared" si="20"/>
        <v>1597.575</v>
      </c>
      <c r="AH32" s="411">
        <f t="shared" si="20"/>
        <v>1597.575</v>
      </c>
      <c r="AI32" s="411">
        <f t="shared" si="20"/>
        <v>1597.575</v>
      </c>
      <c r="AJ32" s="411">
        <f t="shared" si="20"/>
        <v>1597.575</v>
      </c>
      <c r="AK32" s="411">
        <f t="shared" si="20"/>
        <v>1597.575</v>
      </c>
      <c r="AL32" s="411">
        <f t="shared" si="20"/>
        <v>1597.575</v>
      </c>
      <c r="AM32" s="411">
        <f t="shared" si="20"/>
        <v>1597.575</v>
      </c>
      <c r="AN32" s="411">
        <f t="shared" si="20"/>
        <v>1597.575</v>
      </c>
      <c r="AO32" s="411">
        <f t="shared" si="20"/>
        <v>1597.575</v>
      </c>
      <c r="AP32" s="411">
        <f t="shared" si="20"/>
        <v>1597.575</v>
      </c>
      <c r="AQ32" s="411">
        <f t="shared" si="20"/>
        <v>1597.575</v>
      </c>
      <c r="AR32" s="411">
        <f t="shared" si="20"/>
        <v>1597.575</v>
      </c>
      <c r="AS32" s="411">
        <f t="shared" si="20"/>
        <v>1597.575</v>
      </c>
      <c r="AT32" s="411">
        <f t="shared" si="20"/>
        <v>1597.575</v>
      </c>
      <c r="AU32" s="411">
        <f t="shared" si="20"/>
        <v>1597.575</v>
      </c>
      <c r="AV32" s="411">
        <f t="shared" si="20"/>
        <v>1597.575</v>
      </c>
      <c r="AW32" s="411">
        <f t="shared" si="20"/>
        <v>1597.575</v>
      </c>
      <c r="AX32" s="411">
        <f t="shared" si="20"/>
        <v>1597.575</v>
      </c>
      <c r="AY32" s="411">
        <f t="shared" si="20"/>
        <v>1597.575</v>
      </c>
      <c r="AZ32" s="411">
        <f t="shared" si="20"/>
        <v>1597.575</v>
      </c>
      <c r="BA32" s="411">
        <f t="shared" si="20"/>
        <v>1597.575</v>
      </c>
      <c r="BB32" s="411">
        <f t="shared" si="20"/>
        <v>1597.575</v>
      </c>
      <c r="BC32" s="411">
        <f t="shared" si="20"/>
        <v>1597.575</v>
      </c>
      <c r="BD32" s="411">
        <f t="shared" si="20"/>
        <v>1597.575</v>
      </c>
      <c r="BE32" s="411">
        <f t="shared" si="20"/>
        <v>1597.575</v>
      </c>
      <c r="BF32" s="411">
        <f t="shared" si="20"/>
        <v>1597.575</v>
      </c>
      <c r="BG32" s="411">
        <f t="shared" si="20"/>
        <v>1597.575</v>
      </c>
      <c r="BH32" s="411">
        <f t="shared" si="20"/>
        <v>1597.575</v>
      </c>
      <c r="BI32" s="411">
        <f t="shared" si="20"/>
        <v>1597.575</v>
      </c>
      <c r="BJ32" s="411">
        <f t="shared" si="20"/>
        <v>1597.575</v>
      </c>
      <c r="BK32" s="411">
        <f t="shared" si="20"/>
        <v>1597.575</v>
      </c>
      <c r="BL32" s="411">
        <f t="shared" si="20"/>
        <v>1597.575</v>
      </c>
      <c r="BM32" s="411">
        <f t="shared" si="20"/>
        <v>1597.575</v>
      </c>
      <c r="BN32" s="411">
        <f t="shared" si="20"/>
        <v>1597.575</v>
      </c>
      <c r="BO32" s="411">
        <f t="shared" si="20"/>
        <v>1597.575</v>
      </c>
      <c r="BP32" s="411">
        <f t="shared" si="20"/>
        <v>1597.575</v>
      </c>
      <c r="BQ32" s="411">
        <f t="shared" si="20"/>
        <v>1597.575</v>
      </c>
      <c r="BR32" s="411">
        <f t="shared" si="20"/>
        <v>1597.575</v>
      </c>
      <c r="BS32" s="411">
        <f t="shared" si="20"/>
        <v>1597.575</v>
      </c>
      <c r="BT32" s="411">
        <f t="shared" ref="BT32:CL32" si="21">$D$32*BT15</f>
        <v>1597.575</v>
      </c>
      <c r="BU32" s="411">
        <f t="shared" si="21"/>
        <v>1597.575</v>
      </c>
      <c r="BV32" s="411">
        <f t="shared" si="21"/>
        <v>1597.575</v>
      </c>
      <c r="BW32" s="411">
        <f t="shared" si="21"/>
        <v>1597.575</v>
      </c>
      <c r="BX32" s="411">
        <f t="shared" si="21"/>
        <v>1597.575</v>
      </c>
      <c r="BY32" s="411">
        <f t="shared" si="21"/>
        <v>1597.575</v>
      </c>
      <c r="BZ32" s="411">
        <f t="shared" si="21"/>
        <v>1597.575</v>
      </c>
      <c r="CA32" s="411">
        <f t="shared" si="21"/>
        <v>1597.575</v>
      </c>
      <c r="CB32" s="411">
        <f t="shared" si="21"/>
        <v>1597.575</v>
      </c>
      <c r="CC32" s="411">
        <f t="shared" si="21"/>
        <v>1597.575</v>
      </c>
      <c r="CD32" s="411">
        <f t="shared" si="21"/>
        <v>1597.575</v>
      </c>
      <c r="CE32" s="411">
        <f t="shared" si="21"/>
        <v>1597.575</v>
      </c>
      <c r="CF32" s="411">
        <f t="shared" si="21"/>
        <v>1597.575</v>
      </c>
      <c r="CG32" s="411">
        <f t="shared" si="21"/>
        <v>1597.575</v>
      </c>
      <c r="CH32" s="411">
        <f t="shared" si="21"/>
        <v>1597.575</v>
      </c>
      <c r="CI32" s="411">
        <f t="shared" si="21"/>
        <v>1597.575</v>
      </c>
      <c r="CJ32" s="411">
        <f t="shared" si="21"/>
        <v>1597.575</v>
      </c>
      <c r="CK32" s="411">
        <f t="shared" si="21"/>
        <v>1597.575</v>
      </c>
      <c r="CL32" s="411">
        <f t="shared" si="21"/>
        <v>1597.575</v>
      </c>
      <c r="CM32" s="411">
        <f t="shared" si="1"/>
        <v>1597.5749999999982</v>
      </c>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row>
    <row r="33" spans="1:179">
      <c r="A33" s="1051"/>
      <c r="B33" s="224" t="s">
        <v>309</v>
      </c>
      <c r="C33" s="367" t="s">
        <v>310</v>
      </c>
      <c r="D33" s="416">
        <f>1.50375/1000</f>
        <v>1.5037499999999999E-3</v>
      </c>
      <c r="E33" s="236"/>
      <c r="F33" s="417" t="s">
        <v>178</v>
      </c>
      <c r="G33" s="418">
        <v>166.44858374999998</v>
      </c>
      <c r="H33" s="418">
        <v>166.44858374999998</v>
      </c>
      <c r="I33" s="418">
        <v>166.44858374999998</v>
      </c>
      <c r="J33" s="418">
        <v>166.44858374999998</v>
      </c>
      <c r="K33" s="418">
        <v>166.44858374999998</v>
      </c>
      <c r="L33" s="418">
        <v>166.44858374999998</v>
      </c>
      <c r="M33" s="418">
        <v>166.44858374999998</v>
      </c>
      <c r="N33" s="418">
        <v>166.44858374999998</v>
      </c>
      <c r="O33" s="418">
        <v>166.44858374999998</v>
      </c>
      <c r="P33" s="418">
        <v>166.44858374999998</v>
      </c>
      <c r="Q33" s="418">
        <v>166.44858374999998</v>
      </c>
      <c r="R33" s="418">
        <v>166.44858374999998</v>
      </c>
      <c r="S33" s="418">
        <v>166.44858374999998</v>
      </c>
      <c r="T33" s="418">
        <f t="shared" ref="T33:AS33" si="22">T16*$D$33</f>
        <v>168.87511220645587</v>
      </c>
      <c r="U33" s="418">
        <f t="shared" si="22"/>
        <v>168.87511220645587</v>
      </c>
      <c r="V33" s="418">
        <f t="shared" si="22"/>
        <v>168.87511220645587</v>
      </c>
      <c r="W33" s="418">
        <f t="shared" si="22"/>
        <v>168.87511220645587</v>
      </c>
      <c r="X33" s="418">
        <f t="shared" si="22"/>
        <v>168.87511220645587</v>
      </c>
      <c r="Y33" s="418">
        <f t="shared" si="22"/>
        <v>168.87511220645587</v>
      </c>
      <c r="Z33" s="418">
        <f t="shared" si="22"/>
        <v>168.87511220645587</v>
      </c>
      <c r="AA33" s="418">
        <f t="shared" si="22"/>
        <v>168.87511220645587</v>
      </c>
      <c r="AB33" s="418">
        <f t="shared" si="22"/>
        <v>168.87511220645587</v>
      </c>
      <c r="AC33" s="418">
        <f t="shared" si="22"/>
        <v>168.87511220645587</v>
      </c>
      <c r="AD33" s="418">
        <f t="shared" si="22"/>
        <v>168.87511220645587</v>
      </c>
      <c r="AE33" s="418">
        <f t="shared" si="22"/>
        <v>168.87511220645587</v>
      </c>
      <c r="AF33" s="418">
        <f t="shared" si="22"/>
        <v>168.87511220645587</v>
      </c>
      <c r="AG33" s="418">
        <f t="shared" si="22"/>
        <v>168.87511220645587</v>
      </c>
      <c r="AH33" s="418">
        <f t="shared" si="22"/>
        <v>168.87511220645587</v>
      </c>
      <c r="AI33" s="418">
        <f t="shared" si="22"/>
        <v>168.87511220645587</v>
      </c>
      <c r="AJ33" s="418">
        <f t="shared" si="22"/>
        <v>168.87511220645587</v>
      </c>
      <c r="AK33" s="418">
        <f t="shared" si="22"/>
        <v>168.87511220645587</v>
      </c>
      <c r="AL33" s="418">
        <f t="shared" si="22"/>
        <v>168.87511220645587</v>
      </c>
      <c r="AM33" s="418">
        <f t="shared" si="22"/>
        <v>168.87511220645587</v>
      </c>
      <c r="AN33" s="418">
        <f t="shared" si="22"/>
        <v>168.87511220645587</v>
      </c>
      <c r="AO33" s="418">
        <f t="shared" si="22"/>
        <v>168.87511220645587</v>
      </c>
      <c r="AP33" s="418">
        <f t="shared" si="22"/>
        <v>168.87511220645587</v>
      </c>
      <c r="AQ33" s="418">
        <f t="shared" si="22"/>
        <v>168.87511220645587</v>
      </c>
      <c r="AR33" s="418">
        <f t="shared" si="22"/>
        <v>168.87511220645587</v>
      </c>
      <c r="AS33" s="418">
        <f t="shared" si="22"/>
        <v>168.87511220645587</v>
      </c>
      <c r="AT33" s="418">
        <f>AT16*$D$33</f>
        <v>168.87511220645587</v>
      </c>
      <c r="AU33" s="419">
        <f t="shared" ref="AU33:CL33" si="23">AU16*$D$33</f>
        <v>168.87511220645587</v>
      </c>
      <c r="AV33" s="419">
        <f t="shared" si="23"/>
        <v>168.87511220645587</v>
      </c>
      <c r="AW33" s="419">
        <f t="shared" si="23"/>
        <v>168.87511220645587</v>
      </c>
      <c r="AX33" s="419">
        <f t="shared" si="23"/>
        <v>168.87511220645587</v>
      </c>
      <c r="AY33" s="419">
        <f t="shared" si="23"/>
        <v>168.87511220645587</v>
      </c>
      <c r="AZ33" s="419">
        <f t="shared" si="23"/>
        <v>168.87511220645587</v>
      </c>
      <c r="BA33" s="419">
        <f t="shared" si="23"/>
        <v>168.87511220645587</v>
      </c>
      <c r="BB33" s="419">
        <f t="shared" si="23"/>
        <v>168.87511220645587</v>
      </c>
      <c r="BC33" s="419">
        <f t="shared" si="23"/>
        <v>168.87511220645587</v>
      </c>
      <c r="BD33" s="419">
        <f t="shared" si="23"/>
        <v>168.87511220645587</v>
      </c>
      <c r="BE33" s="419">
        <f t="shared" si="23"/>
        <v>168.87511220645587</v>
      </c>
      <c r="BF33" s="419">
        <f t="shared" si="23"/>
        <v>168.87511220645587</v>
      </c>
      <c r="BG33" s="419">
        <f t="shared" si="23"/>
        <v>168.87511220645587</v>
      </c>
      <c r="BH33" s="419">
        <f t="shared" si="23"/>
        <v>168.87511220645587</v>
      </c>
      <c r="BI33" s="419">
        <f t="shared" si="23"/>
        <v>168.87511220645587</v>
      </c>
      <c r="BJ33" s="419">
        <f t="shared" si="23"/>
        <v>168.87511220645587</v>
      </c>
      <c r="BK33" s="419">
        <f t="shared" si="23"/>
        <v>168.87511220645587</v>
      </c>
      <c r="BL33" s="419">
        <f t="shared" si="23"/>
        <v>168.87511220645587</v>
      </c>
      <c r="BM33" s="419">
        <f t="shared" si="23"/>
        <v>168.87511220645587</v>
      </c>
      <c r="BN33" s="419">
        <f t="shared" si="23"/>
        <v>168.87511220645587</v>
      </c>
      <c r="BO33" s="419">
        <f t="shared" si="23"/>
        <v>168.87511220645587</v>
      </c>
      <c r="BP33" s="419">
        <f t="shared" si="23"/>
        <v>168.87511220645587</v>
      </c>
      <c r="BQ33" s="419">
        <f t="shared" si="23"/>
        <v>168.87511220645587</v>
      </c>
      <c r="BR33" s="419">
        <f t="shared" si="23"/>
        <v>168.87511220645587</v>
      </c>
      <c r="BS33" s="419">
        <f t="shared" si="23"/>
        <v>168.87511220645587</v>
      </c>
      <c r="BT33" s="419">
        <f t="shared" si="23"/>
        <v>168.87511220645587</v>
      </c>
      <c r="BU33" s="419">
        <f t="shared" si="23"/>
        <v>168.87511220645587</v>
      </c>
      <c r="BV33" s="419">
        <f t="shared" si="23"/>
        <v>168.87511220645587</v>
      </c>
      <c r="BW33" s="419">
        <f t="shared" si="23"/>
        <v>168.87511220645587</v>
      </c>
      <c r="BX33" s="419">
        <f t="shared" si="23"/>
        <v>168.87511220645587</v>
      </c>
      <c r="BY33" s="419">
        <f t="shared" si="23"/>
        <v>168.87511220645587</v>
      </c>
      <c r="BZ33" s="419">
        <f t="shared" si="23"/>
        <v>168.87511220645587</v>
      </c>
      <c r="CA33" s="419">
        <f t="shared" si="23"/>
        <v>168.87511220645587</v>
      </c>
      <c r="CB33" s="419">
        <f t="shared" si="23"/>
        <v>168.87511220645587</v>
      </c>
      <c r="CC33" s="419">
        <f t="shared" si="23"/>
        <v>168.87511220645587</v>
      </c>
      <c r="CD33" s="419">
        <f t="shared" si="23"/>
        <v>168.87511220645587</v>
      </c>
      <c r="CE33" s="419">
        <f t="shared" si="23"/>
        <v>168.87511220645587</v>
      </c>
      <c r="CF33" s="419">
        <f t="shared" si="23"/>
        <v>168.87511220645587</v>
      </c>
      <c r="CG33" s="419">
        <f t="shared" si="23"/>
        <v>168.87511220645587</v>
      </c>
      <c r="CH33" s="419">
        <f t="shared" si="23"/>
        <v>168.87511220645587</v>
      </c>
      <c r="CI33" s="419">
        <f t="shared" si="23"/>
        <v>168.87511220645587</v>
      </c>
      <c r="CJ33" s="419">
        <f t="shared" si="23"/>
        <v>168.87511220645587</v>
      </c>
      <c r="CK33" s="419">
        <f t="shared" si="23"/>
        <v>168.87511220645587</v>
      </c>
      <c r="CL33" s="420">
        <f t="shared" si="23"/>
        <v>168.87511220645587</v>
      </c>
      <c r="CM33" s="363">
        <f t="shared" si="1"/>
        <v>168.49957804057544</v>
      </c>
      <c r="CN33" s="58"/>
      <c r="CO33" s="421">
        <v>41883</v>
      </c>
      <c r="CP33" s="421">
        <v>41913</v>
      </c>
      <c r="CQ33" s="421">
        <v>41944</v>
      </c>
      <c r="CR33" s="421">
        <v>41974</v>
      </c>
      <c r="CS33" s="421">
        <v>42005</v>
      </c>
      <c r="CT33" s="421">
        <v>42036</v>
      </c>
      <c r="CU33" s="421">
        <v>42064</v>
      </c>
      <c r="CV33" s="421">
        <v>42095</v>
      </c>
      <c r="CW33" s="421">
        <v>42125</v>
      </c>
      <c r="CX33" s="421">
        <v>42156</v>
      </c>
      <c r="CY33" s="421">
        <v>42186</v>
      </c>
      <c r="CZ33" s="421">
        <v>42217</v>
      </c>
      <c r="DA33" s="421">
        <v>42248</v>
      </c>
      <c r="DB33" s="421">
        <v>42278</v>
      </c>
      <c r="DC33" s="421">
        <v>42309</v>
      </c>
      <c r="DD33" s="421">
        <v>42339</v>
      </c>
      <c r="DE33" s="421">
        <v>42370</v>
      </c>
      <c r="DF33" s="421">
        <v>42401</v>
      </c>
      <c r="DG33" s="421">
        <v>42430</v>
      </c>
      <c r="DH33" s="421">
        <v>42461</v>
      </c>
      <c r="DI33" s="421">
        <v>42491</v>
      </c>
      <c r="DJ33" s="421">
        <v>42522</v>
      </c>
      <c r="DK33" s="421">
        <v>42552</v>
      </c>
      <c r="DL33" s="421">
        <v>42583</v>
      </c>
      <c r="DM33" s="421">
        <v>42614</v>
      </c>
      <c r="DN33" s="421">
        <v>42644</v>
      </c>
      <c r="DO33" s="421">
        <v>42675</v>
      </c>
      <c r="DP33" s="421">
        <v>42705</v>
      </c>
      <c r="DQ33" s="421">
        <v>42736</v>
      </c>
      <c r="DR33" s="421">
        <v>42767</v>
      </c>
      <c r="DS33" s="421">
        <v>42795</v>
      </c>
      <c r="DT33" s="421">
        <v>42826</v>
      </c>
      <c r="DU33" s="421">
        <v>42856</v>
      </c>
      <c r="DV33" s="421">
        <v>42887</v>
      </c>
      <c r="DW33" s="421">
        <v>42917</v>
      </c>
      <c r="DX33" s="421">
        <v>42948</v>
      </c>
      <c r="DY33" s="421">
        <v>42979</v>
      </c>
      <c r="DZ33" s="421">
        <v>43009</v>
      </c>
      <c r="EA33" s="421">
        <v>43040</v>
      </c>
      <c r="EB33" s="421">
        <v>43070</v>
      </c>
      <c r="EC33" s="421">
        <v>43101</v>
      </c>
      <c r="ED33" s="421">
        <v>43132</v>
      </c>
      <c r="EE33" s="421">
        <v>43160</v>
      </c>
      <c r="EF33" s="421">
        <v>43191</v>
      </c>
      <c r="EG33" s="421">
        <v>43221</v>
      </c>
      <c r="EH33" s="421">
        <v>43252</v>
      </c>
      <c r="EI33" s="421">
        <v>43282</v>
      </c>
      <c r="EJ33" s="421">
        <v>43313</v>
      </c>
      <c r="EK33" s="421">
        <v>43344</v>
      </c>
      <c r="EL33" s="421">
        <v>43374</v>
      </c>
      <c r="EM33" s="421">
        <v>43405</v>
      </c>
      <c r="EN33" s="421">
        <v>43435</v>
      </c>
      <c r="EO33" s="421">
        <v>43466</v>
      </c>
      <c r="EP33" s="421">
        <v>43497</v>
      </c>
      <c r="EQ33" s="421">
        <v>43525</v>
      </c>
      <c r="ER33" s="421">
        <v>43556</v>
      </c>
      <c r="ES33" s="421">
        <v>43586</v>
      </c>
      <c r="ET33" s="421">
        <v>43617</v>
      </c>
      <c r="EU33" s="421">
        <v>43647</v>
      </c>
      <c r="EV33" s="421">
        <v>43678</v>
      </c>
      <c r="EW33" s="421">
        <v>43709</v>
      </c>
      <c r="EX33" s="421">
        <v>43739</v>
      </c>
      <c r="EY33" s="421">
        <v>43770</v>
      </c>
      <c r="EZ33" s="421">
        <v>43800</v>
      </c>
      <c r="FA33" s="421">
        <v>43831</v>
      </c>
      <c r="FB33" s="421">
        <v>43862</v>
      </c>
      <c r="FC33" s="421">
        <v>43891</v>
      </c>
      <c r="FD33" s="421">
        <v>43922</v>
      </c>
      <c r="FE33" s="421">
        <v>43952</v>
      </c>
      <c r="FF33" s="421">
        <v>43983</v>
      </c>
      <c r="FG33" s="421">
        <v>44013</v>
      </c>
      <c r="FH33" s="421">
        <v>44044</v>
      </c>
      <c r="FI33" s="421">
        <v>44075</v>
      </c>
      <c r="FJ33" s="421">
        <v>44105</v>
      </c>
      <c r="FK33" s="421">
        <v>44136</v>
      </c>
      <c r="FL33" s="421">
        <v>44166</v>
      </c>
      <c r="FM33" s="421">
        <v>44197</v>
      </c>
      <c r="FN33" s="421">
        <v>44228</v>
      </c>
      <c r="FO33" s="421">
        <v>44256</v>
      </c>
      <c r="FP33" s="421">
        <v>44287</v>
      </c>
      <c r="FQ33" s="421">
        <v>44317</v>
      </c>
      <c r="FR33" s="421">
        <v>44348</v>
      </c>
      <c r="FS33" s="421">
        <v>44378</v>
      </c>
      <c r="FT33" s="421">
        <v>44409</v>
      </c>
      <c r="FU33" s="421">
        <v>44440</v>
      </c>
      <c r="FV33" s="371"/>
    </row>
    <row r="34" spans="1:179" ht="15" customHeight="1">
      <c r="A34" s="1065" t="s">
        <v>106</v>
      </c>
      <c r="B34" s="398" t="s">
        <v>305</v>
      </c>
      <c r="C34" s="399" t="s">
        <v>310</v>
      </c>
      <c r="D34" s="399">
        <v>1.61</v>
      </c>
      <c r="E34" s="1058" t="s">
        <v>313</v>
      </c>
      <c r="F34" s="422" t="s">
        <v>141</v>
      </c>
      <c r="G34" s="423">
        <f t="shared" ref="G34:R34" si="24">$D$34*G16</f>
        <v>180807.2689292728</v>
      </c>
      <c r="H34" s="423">
        <f t="shared" si="24"/>
        <v>180807.2689292728</v>
      </c>
      <c r="I34" s="423">
        <f t="shared" si="24"/>
        <v>180807.2689292728</v>
      </c>
      <c r="J34" s="423">
        <f t="shared" si="24"/>
        <v>180807.2689292728</v>
      </c>
      <c r="K34" s="423">
        <f t="shared" si="24"/>
        <v>180807.2689292728</v>
      </c>
      <c r="L34" s="423">
        <f t="shared" si="24"/>
        <v>180807.2689292728</v>
      </c>
      <c r="M34" s="423">
        <f t="shared" si="24"/>
        <v>180807.2689292728</v>
      </c>
      <c r="N34" s="423">
        <f t="shared" si="24"/>
        <v>180807.2689292728</v>
      </c>
      <c r="O34" s="423">
        <f t="shared" si="24"/>
        <v>180807.2689292728</v>
      </c>
      <c r="P34" s="423">
        <f t="shared" si="24"/>
        <v>180807.2689292728</v>
      </c>
      <c r="Q34" s="423">
        <f t="shared" si="24"/>
        <v>180807.2689292728</v>
      </c>
      <c r="R34" s="423">
        <f t="shared" si="24"/>
        <v>180807.2689292728</v>
      </c>
      <c r="S34" s="423">
        <f>$D$34*S16</f>
        <v>180807.2689292728</v>
      </c>
      <c r="T34" s="423">
        <f t="shared" ref="T34:CE34" si="25">$D$34*T16</f>
        <v>180807.2689292728</v>
      </c>
      <c r="U34" s="423">
        <f t="shared" si="25"/>
        <v>180807.2689292728</v>
      </c>
      <c r="V34" s="423">
        <f t="shared" si="25"/>
        <v>180807.2689292728</v>
      </c>
      <c r="W34" s="423">
        <f t="shared" si="25"/>
        <v>180807.2689292728</v>
      </c>
      <c r="X34" s="423">
        <f t="shared" si="25"/>
        <v>180807.2689292728</v>
      </c>
      <c r="Y34" s="423">
        <f t="shared" si="25"/>
        <v>180807.2689292728</v>
      </c>
      <c r="Z34" s="423">
        <f t="shared" si="25"/>
        <v>180807.2689292728</v>
      </c>
      <c r="AA34" s="423">
        <f t="shared" si="25"/>
        <v>180807.2689292728</v>
      </c>
      <c r="AB34" s="423">
        <f t="shared" si="25"/>
        <v>180807.2689292728</v>
      </c>
      <c r="AC34" s="423">
        <f t="shared" si="25"/>
        <v>180807.2689292728</v>
      </c>
      <c r="AD34" s="423">
        <f t="shared" si="25"/>
        <v>180807.2689292728</v>
      </c>
      <c r="AE34" s="423">
        <f t="shared" si="25"/>
        <v>180807.2689292728</v>
      </c>
      <c r="AF34" s="423">
        <f t="shared" si="25"/>
        <v>180807.2689292728</v>
      </c>
      <c r="AG34" s="423">
        <f t="shared" si="25"/>
        <v>180807.2689292728</v>
      </c>
      <c r="AH34" s="423">
        <f t="shared" si="25"/>
        <v>180807.2689292728</v>
      </c>
      <c r="AI34" s="423">
        <f t="shared" si="25"/>
        <v>180807.2689292728</v>
      </c>
      <c r="AJ34" s="423">
        <f t="shared" si="25"/>
        <v>180807.2689292728</v>
      </c>
      <c r="AK34" s="423">
        <f t="shared" si="25"/>
        <v>180807.2689292728</v>
      </c>
      <c r="AL34" s="423">
        <f t="shared" si="25"/>
        <v>180807.2689292728</v>
      </c>
      <c r="AM34" s="423">
        <f t="shared" si="25"/>
        <v>180807.2689292728</v>
      </c>
      <c r="AN34" s="423">
        <f t="shared" si="25"/>
        <v>180807.2689292728</v>
      </c>
      <c r="AO34" s="423">
        <f t="shared" si="25"/>
        <v>180807.2689292728</v>
      </c>
      <c r="AP34" s="423">
        <f t="shared" si="25"/>
        <v>180807.2689292728</v>
      </c>
      <c r="AQ34" s="423">
        <f t="shared" si="25"/>
        <v>180807.2689292728</v>
      </c>
      <c r="AR34" s="423">
        <f t="shared" si="25"/>
        <v>180807.2689292728</v>
      </c>
      <c r="AS34" s="423">
        <f t="shared" si="25"/>
        <v>180807.2689292728</v>
      </c>
      <c r="AT34" s="423">
        <f t="shared" si="25"/>
        <v>180807.2689292728</v>
      </c>
      <c r="AU34" s="424">
        <f t="shared" si="25"/>
        <v>180807.2689292728</v>
      </c>
      <c r="AV34" s="424">
        <f t="shared" si="25"/>
        <v>180807.2689292728</v>
      </c>
      <c r="AW34" s="424">
        <f t="shared" si="25"/>
        <v>180807.2689292728</v>
      </c>
      <c r="AX34" s="424">
        <f t="shared" si="25"/>
        <v>180807.2689292728</v>
      </c>
      <c r="AY34" s="424">
        <f t="shared" si="25"/>
        <v>180807.2689292728</v>
      </c>
      <c r="AZ34" s="424">
        <f t="shared" si="25"/>
        <v>180807.2689292728</v>
      </c>
      <c r="BA34" s="424">
        <f t="shared" si="25"/>
        <v>180807.2689292728</v>
      </c>
      <c r="BB34" s="424">
        <f t="shared" si="25"/>
        <v>180807.2689292728</v>
      </c>
      <c r="BC34" s="424">
        <f t="shared" si="25"/>
        <v>180807.2689292728</v>
      </c>
      <c r="BD34" s="424">
        <f t="shared" si="25"/>
        <v>180807.2689292728</v>
      </c>
      <c r="BE34" s="424">
        <f t="shared" si="25"/>
        <v>180807.2689292728</v>
      </c>
      <c r="BF34" s="424">
        <f t="shared" si="25"/>
        <v>180807.2689292728</v>
      </c>
      <c r="BG34" s="424">
        <f t="shared" si="25"/>
        <v>180807.2689292728</v>
      </c>
      <c r="BH34" s="424">
        <f t="shared" si="25"/>
        <v>180807.2689292728</v>
      </c>
      <c r="BI34" s="424">
        <f t="shared" si="25"/>
        <v>180807.2689292728</v>
      </c>
      <c r="BJ34" s="424">
        <f t="shared" si="25"/>
        <v>180807.2689292728</v>
      </c>
      <c r="BK34" s="424">
        <f t="shared" si="25"/>
        <v>180807.2689292728</v>
      </c>
      <c r="BL34" s="424">
        <f t="shared" si="25"/>
        <v>180807.2689292728</v>
      </c>
      <c r="BM34" s="424">
        <f t="shared" si="25"/>
        <v>180807.2689292728</v>
      </c>
      <c r="BN34" s="424">
        <f t="shared" si="25"/>
        <v>180807.2689292728</v>
      </c>
      <c r="BO34" s="424">
        <f t="shared" si="25"/>
        <v>180807.2689292728</v>
      </c>
      <c r="BP34" s="424">
        <f t="shared" si="25"/>
        <v>180807.2689292728</v>
      </c>
      <c r="BQ34" s="424">
        <f t="shared" si="25"/>
        <v>180807.2689292728</v>
      </c>
      <c r="BR34" s="424">
        <f t="shared" si="25"/>
        <v>180807.2689292728</v>
      </c>
      <c r="BS34" s="424">
        <f t="shared" si="25"/>
        <v>180807.2689292728</v>
      </c>
      <c r="BT34" s="424">
        <f t="shared" si="25"/>
        <v>180807.2689292728</v>
      </c>
      <c r="BU34" s="424">
        <f t="shared" si="25"/>
        <v>180807.2689292728</v>
      </c>
      <c r="BV34" s="424">
        <f t="shared" si="25"/>
        <v>180807.2689292728</v>
      </c>
      <c r="BW34" s="424">
        <f t="shared" si="25"/>
        <v>180807.2689292728</v>
      </c>
      <c r="BX34" s="424">
        <f t="shared" si="25"/>
        <v>180807.2689292728</v>
      </c>
      <c r="BY34" s="424">
        <f t="shared" si="25"/>
        <v>180807.2689292728</v>
      </c>
      <c r="BZ34" s="424">
        <f t="shared" si="25"/>
        <v>180807.2689292728</v>
      </c>
      <c r="CA34" s="424">
        <f t="shared" si="25"/>
        <v>180807.2689292728</v>
      </c>
      <c r="CB34" s="424">
        <f t="shared" si="25"/>
        <v>180807.2689292728</v>
      </c>
      <c r="CC34" s="424">
        <f t="shared" si="25"/>
        <v>180807.2689292728</v>
      </c>
      <c r="CD34" s="424">
        <f t="shared" si="25"/>
        <v>180807.2689292728</v>
      </c>
      <c r="CE34" s="424">
        <f t="shared" si="25"/>
        <v>180807.2689292728</v>
      </c>
      <c r="CF34" s="424">
        <f t="shared" ref="CF34:CL34" si="26">$D$34*CF16</f>
        <v>180807.2689292728</v>
      </c>
      <c r="CG34" s="424">
        <f t="shared" si="26"/>
        <v>180807.2689292728</v>
      </c>
      <c r="CH34" s="424">
        <f t="shared" si="26"/>
        <v>180807.2689292728</v>
      </c>
      <c r="CI34" s="424">
        <f t="shared" si="26"/>
        <v>180807.2689292728</v>
      </c>
      <c r="CJ34" s="424">
        <f t="shared" si="26"/>
        <v>180807.2689292728</v>
      </c>
      <c r="CK34" s="424">
        <f t="shared" si="26"/>
        <v>180807.2689292728</v>
      </c>
      <c r="CL34" s="422">
        <f t="shared" si="26"/>
        <v>180807.2689292728</v>
      </c>
      <c r="CM34" s="425">
        <f t="shared" ref="CM34:CM57" si="27">AVERAGE(G34:CL34)</f>
        <v>180807.26892927286</v>
      </c>
      <c r="CN34" s="426" t="s">
        <v>316</v>
      </c>
      <c r="CO34" s="427">
        <v>6.12</v>
      </c>
      <c r="CP34" s="427">
        <v>6.12</v>
      </c>
      <c r="CQ34" s="427">
        <v>6.12</v>
      </c>
      <c r="CR34" s="427">
        <v>6.12</v>
      </c>
      <c r="CS34" s="427">
        <v>6.24</v>
      </c>
      <c r="CT34" s="427">
        <v>6.24</v>
      </c>
      <c r="CU34" s="427">
        <v>6.28</v>
      </c>
      <c r="CV34" s="427">
        <v>6.28</v>
      </c>
      <c r="CW34" s="427">
        <v>6.32</v>
      </c>
      <c r="CX34" s="427">
        <v>6.32</v>
      </c>
      <c r="CY34" s="427">
        <v>6.47</v>
      </c>
      <c r="CZ34" s="427">
        <v>6.47</v>
      </c>
      <c r="DA34" s="427">
        <v>6.47</v>
      </c>
      <c r="DB34" s="427">
        <v>6.51</v>
      </c>
      <c r="DC34" s="427">
        <v>6.6447253073219397</v>
      </c>
      <c r="DD34" s="427">
        <v>6.6592391374311397</v>
      </c>
      <c r="DE34" s="427">
        <v>6.6737529675403398</v>
      </c>
      <c r="DF34" s="427">
        <v>6.6882667976495496</v>
      </c>
      <c r="DG34" s="427">
        <v>6.7027806277587496</v>
      </c>
      <c r="DH34" s="427">
        <v>6.7172944578679497</v>
      </c>
      <c r="DI34" s="427">
        <v>6.7318082879771604</v>
      </c>
      <c r="DJ34" s="427">
        <v>6.7463221180863604</v>
      </c>
      <c r="DK34" s="427">
        <v>6.7608359481955604</v>
      </c>
      <c r="DL34" s="427">
        <v>6.7753497783047703</v>
      </c>
      <c r="DM34" s="427">
        <v>6.7898636084139703</v>
      </c>
      <c r="DN34" s="427">
        <v>6.91</v>
      </c>
      <c r="DO34" s="427">
        <v>6.8188912686323802</v>
      </c>
      <c r="DP34" s="427">
        <v>6.86</v>
      </c>
      <c r="DQ34" s="427">
        <v>6.8479189288507802</v>
      </c>
      <c r="DR34" s="427">
        <v>6.8624327589599803</v>
      </c>
      <c r="DS34" s="427">
        <v>6.8769465890691901</v>
      </c>
      <c r="DT34" s="427">
        <v>6.8914604191783901</v>
      </c>
      <c r="DU34" s="427">
        <v>6.9059742492875902</v>
      </c>
      <c r="DV34" s="427">
        <v>6.9204880793968</v>
      </c>
      <c r="DW34" s="427">
        <v>6.935001909506</v>
      </c>
      <c r="DX34" s="427">
        <v>6.9495157396152001</v>
      </c>
      <c r="DY34" s="427">
        <v>6.9640295697244099</v>
      </c>
      <c r="DZ34" s="427">
        <v>6.9785433998336099</v>
      </c>
      <c r="EA34" s="427">
        <v>6.99305722994281</v>
      </c>
      <c r="EB34" s="427">
        <v>7.0075710600520198</v>
      </c>
      <c r="EC34" s="427">
        <v>5.2450000000000001</v>
      </c>
      <c r="ED34" s="427">
        <v>7.48</v>
      </c>
      <c r="EE34" s="427">
        <v>7.6002255138846202</v>
      </c>
      <c r="EF34" s="427">
        <v>6.65</v>
      </c>
      <c r="EG34" s="427">
        <v>6.77</v>
      </c>
      <c r="EH34" s="427">
        <v>6.83</v>
      </c>
      <c r="EI34" s="427">
        <v>8.23</v>
      </c>
      <c r="EJ34" s="427">
        <v>8.2200000000000006</v>
      </c>
      <c r="EK34" s="427">
        <v>7.32</v>
      </c>
      <c r="EL34" s="427">
        <v>8.18</v>
      </c>
      <c r="EM34" s="427">
        <v>7.53</v>
      </c>
      <c r="EN34" s="427">
        <v>7.13</v>
      </c>
      <c r="EO34" s="427">
        <v>6.42</v>
      </c>
      <c r="EP34" s="427">
        <v>7.18</v>
      </c>
      <c r="EQ34" s="427">
        <v>6.07</v>
      </c>
      <c r="ER34" s="427">
        <v>4.8415999999999997</v>
      </c>
      <c r="ES34" s="427">
        <v>4.8899999999999997</v>
      </c>
      <c r="ET34" s="427">
        <v>5.4</v>
      </c>
      <c r="EU34" s="427">
        <v>5.84</v>
      </c>
      <c r="EV34" s="427">
        <v>5.76</v>
      </c>
      <c r="EW34" s="427">
        <v>5.46</v>
      </c>
      <c r="EX34" s="427">
        <v>6.36</v>
      </c>
      <c r="EY34" s="427">
        <v>6.17</v>
      </c>
      <c r="EZ34" s="427">
        <v>6.84</v>
      </c>
      <c r="FA34" s="427">
        <v>5.67</v>
      </c>
      <c r="FB34" s="427">
        <v>5.33</v>
      </c>
      <c r="FC34" s="427">
        <v>3.69</v>
      </c>
      <c r="FD34" s="427">
        <v>4.9800000000000004</v>
      </c>
      <c r="FE34" s="427">
        <v>4.4800000000000004</v>
      </c>
      <c r="FF34" s="427">
        <v>3</v>
      </c>
      <c r="FG34" s="427">
        <v>2.6</v>
      </c>
      <c r="FH34" s="427">
        <v>3.43</v>
      </c>
      <c r="FI34" s="427">
        <v>4.3499999999999996</v>
      </c>
      <c r="FJ34" s="427">
        <v>4.68</v>
      </c>
      <c r="FK34" s="427">
        <v>5.0999999999999996</v>
      </c>
      <c r="FL34" s="427">
        <v>6.03</v>
      </c>
      <c r="FM34" s="427">
        <v>6.67</v>
      </c>
      <c r="FN34" s="427">
        <v>8.02</v>
      </c>
      <c r="FO34" s="427">
        <v>7.23</v>
      </c>
      <c r="FP34" s="427">
        <v>5.36</v>
      </c>
      <c r="FQ34" s="427">
        <v>5.15</v>
      </c>
      <c r="FR34" s="427">
        <v>5.64</v>
      </c>
      <c r="FS34" s="427">
        <v>6.42</v>
      </c>
      <c r="FT34" s="427">
        <v>7.17</v>
      </c>
      <c r="FU34" s="427">
        <v>7.47</v>
      </c>
      <c r="FV34" s="428">
        <f t="shared" ref="FV34:FV41" si="28">AVERAGE(EC34:FU34)</f>
        <v>6.0197072336418813</v>
      </c>
      <c r="FW34" s="312"/>
    </row>
    <row r="35" spans="1:179">
      <c r="A35" s="1066"/>
      <c r="B35" s="398" t="s">
        <v>305</v>
      </c>
      <c r="C35" s="399" t="s">
        <v>310</v>
      </c>
      <c r="D35" s="399">
        <v>514.32000000000005</v>
      </c>
      <c r="E35" s="1058"/>
      <c r="F35" s="422" t="s">
        <v>132</v>
      </c>
      <c r="G35" s="423">
        <f t="shared" ref="G35:BR35" si="29">$D$35*G16</f>
        <v>57759499.724039502</v>
      </c>
      <c r="H35" s="423">
        <f t="shared" si="29"/>
        <v>57759499.724039502</v>
      </c>
      <c r="I35" s="423">
        <f t="shared" si="29"/>
        <v>57759499.724039502</v>
      </c>
      <c r="J35" s="423">
        <f t="shared" si="29"/>
        <v>57759499.724039502</v>
      </c>
      <c r="K35" s="423">
        <f t="shared" si="29"/>
        <v>57759499.724039502</v>
      </c>
      <c r="L35" s="423">
        <f t="shared" si="29"/>
        <v>57759499.724039502</v>
      </c>
      <c r="M35" s="423">
        <f t="shared" si="29"/>
        <v>57759499.724039502</v>
      </c>
      <c r="N35" s="423">
        <f t="shared" si="29"/>
        <v>57759499.724039502</v>
      </c>
      <c r="O35" s="423">
        <f t="shared" si="29"/>
        <v>57759499.724039502</v>
      </c>
      <c r="P35" s="423">
        <f t="shared" si="29"/>
        <v>57759499.724039502</v>
      </c>
      <c r="Q35" s="423">
        <f t="shared" si="29"/>
        <v>57759499.724039502</v>
      </c>
      <c r="R35" s="423">
        <f t="shared" si="29"/>
        <v>57759499.724039502</v>
      </c>
      <c r="S35" s="423">
        <f t="shared" si="29"/>
        <v>57759499.724039502</v>
      </c>
      <c r="T35" s="423">
        <f t="shared" si="29"/>
        <v>57759499.724039502</v>
      </c>
      <c r="U35" s="423">
        <f t="shared" si="29"/>
        <v>57759499.724039502</v>
      </c>
      <c r="V35" s="423">
        <f t="shared" si="29"/>
        <v>57759499.724039502</v>
      </c>
      <c r="W35" s="423">
        <f t="shared" si="29"/>
        <v>57759499.724039502</v>
      </c>
      <c r="X35" s="423">
        <f t="shared" si="29"/>
        <v>57759499.724039502</v>
      </c>
      <c r="Y35" s="423">
        <f t="shared" si="29"/>
        <v>57759499.724039502</v>
      </c>
      <c r="Z35" s="423">
        <f t="shared" si="29"/>
        <v>57759499.724039502</v>
      </c>
      <c r="AA35" s="423">
        <f t="shared" si="29"/>
        <v>57759499.724039502</v>
      </c>
      <c r="AB35" s="423">
        <f t="shared" si="29"/>
        <v>57759499.724039502</v>
      </c>
      <c r="AC35" s="423">
        <f t="shared" si="29"/>
        <v>57759499.724039502</v>
      </c>
      <c r="AD35" s="423">
        <f t="shared" si="29"/>
        <v>57759499.724039502</v>
      </c>
      <c r="AE35" s="423">
        <f t="shared" si="29"/>
        <v>57759499.724039502</v>
      </c>
      <c r="AF35" s="423">
        <f t="shared" si="29"/>
        <v>57759499.724039502</v>
      </c>
      <c r="AG35" s="423">
        <f t="shared" si="29"/>
        <v>57759499.724039502</v>
      </c>
      <c r="AH35" s="423">
        <f t="shared" si="29"/>
        <v>57759499.724039502</v>
      </c>
      <c r="AI35" s="423">
        <f t="shared" si="29"/>
        <v>57759499.724039502</v>
      </c>
      <c r="AJ35" s="423">
        <f t="shared" si="29"/>
        <v>57759499.724039502</v>
      </c>
      <c r="AK35" s="423">
        <f t="shared" si="29"/>
        <v>57759499.724039502</v>
      </c>
      <c r="AL35" s="423">
        <f t="shared" si="29"/>
        <v>57759499.724039502</v>
      </c>
      <c r="AM35" s="423">
        <f t="shared" si="29"/>
        <v>57759499.724039502</v>
      </c>
      <c r="AN35" s="423">
        <f t="shared" si="29"/>
        <v>57759499.724039502</v>
      </c>
      <c r="AO35" s="423">
        <f t="shared" si="29"/>
        <v>57759499.724039502</v>
      </c>
      <c r="AP35" s="423">
        <f t="shared" si="29"/>
        <v>57759499.724039502</v>
      </c>
      <c r="AQ35" s="423">
        <f t="shared" si="29"/>
        <v>57759499.724039502</v>
      </c>
      <c r="AR35" s="423">
        <f t="shared" si="29"/>
        <v>57759499.724039502</v>
      </c>
      <c r="AS35" s="423">
        <f t="shared" si="29"/>
        <v>57759499.724039502</v>
      </c>
      <c r="AT35" s="423">
        <f t="shared" si="29"/>
        <v>57759499.724039502</v>
      </c>
      <c r="AU35" s="424">
        <f t="shared" si="29"/>
        <v>57759499.724039502</v>
      </c>
      <c r="AV35" s="424">
        <f t="shared" si="29"/>
        <v>57759499.724039502</v>
      </c>
      <c r="AW35" s="424">
        <f t="shared" si="29"/>
        <v>57759499.724039502</v>
      </c>
      <c r="AX35" s="424">
        <f t="shared" si="29"/>
        <v>57759499.724039502</v>
      </c>
      <c r="AY35" s="424">
        <f t="shared" si="29"/>
        <v>57759499.724039502</v>
      </c>
      <c r="AZ35" s="424">
        <f t="shared" si="29"/>
        <v>57759499.724039502</v>
      </c>
      <c r="BA35" s="424">
        <f t="shared" si="29"/>
        <v>57759499.724039502</v>
      </c>
      <c r="BB35" s="424">
        <f t="shared" si="29"/>
        <v>57759499.724039502</v>
      </c>
      <c r="BC35" s="424">
        <f t="shared" si="29"/>
        <v>57759499.724039502</v>
      </c>
      <c r="BD35" s="424">
        <f t="shared" si="29"/>
        <v>57759499.724039502</v>
      </c>
      <c r="BE35" s="424">
        <f t="shared" si="29"/>
        <v>57759499.724039502</v>
      </c>
      <c r="BF35" s="424">
        <f t="shared" si="29"/>
        <v>57759499.724039502</v>
      </c>
      <c r="BG35" s="424">
        <f t="shared" si="29"/>
        <v>57759499.724039502</v>
      </c>
      <c r="BH35" s="424">
        <f t="shared" si="29"/>
        <v>57759499.724039502</v>
      </c>
      <c r="BI35" s="424">
        <f t="shared" si="29"/>
        <v>57759499.724039502</v>
      </c>
      <c r="BJ35" s="424">
        <f t="shared" si="29"/>
        <v>57759499.724039502</v>
      </c>
      <c r="BK35" s="424">
        <f t="shared" si="29"/>
        <v>57759499.724039502</v>
      </c>
      <c r="BL35" s="424">
        <f t="shared" si="29"/>
        <v>57759499.724039502</v>
      </c>
      <c r="BM35" s="424">
        <f t="shared" si="29"/>
        <v>57759499.724039502</v>
      </c>
      <c r="BN35" s="424">
        <f t="shared" si="29"/>
        <v>57759499.724039502</v>
      </c>
      <c r="BO35" s="424">
        <f t="shared" si="29"/>
        <v>57759499.724039502</v>
      </c>
      <c r="BP35" s="424">
        <f t="shared" si="29"/>
        <v>57759499.724039502</v>
      </c>
      <c r="BQ35" s="424">
        <f t="shared" si="29"/>
        <v>57759499.724039502</v>
      </c>
      <c r="BR35" s="424">
        <f t="shared" si="29"/>
        <v>57759499.724039502</v>
      </c>
      <c r="BS35" s="424">
        <f t="shared" ref="BS35:CL35" si="30">$D$35*BS16</f>
        <v>57759499.724039502</v>
      </c>
      <c r="BT35" s="424">
        <f t="shared" si="30"/>
        <v>57759499.724039502</v>
      </c>
      <c r="BU35" s="424">
        <f t="shared" si="30"/>
        <v>57759499.724039502</v>
      </c>
      <c r="BV35" s="424">
        <f t="shared" si="30"/>
        <v>57759499.724039502</v>
      </c>
      <c r="BW35" s="424">
        <f t="shared" si="30"/>
        <v>57759499.724039502</v>
      </c>
      <c r="BX35" s="424">
        <f t="shared" si="30"/>
        <v>57759499.724039502</v>
      </c>
      <c r="BY35" s="424">
        <f t="shared" si="30"/>
        <v>57759499.724039502</v>
      </c>
      <c r="BZ35" s="424">
        <f t="shared" si="30"/>
        <v>57759499.724039502</v>
      </c>
      <c r="CA35" s="424">
        <f t="shared" si="30"/>
        <v>57759499.724039502</v>
      </c>
      <c r="CB35" s="424">
        <f t="shared" si="30"/>
        <v>57759499.724039502</v>
      </c>
      <c r="CC35" s="424">
        <f t="shared" si="30"/>
        <v>57759499.724039502</v>
      </c>
      <c r="CD35" s="424">
        <f t="shared" si="30"/>
        <v>57759499.724039502</v>
      </c>
      <c r="CE35" s="424">
        <f t="shared" si="30"/>
        <v>57759499.724039502</v>
      </c>
      <c r="CF35" s="424">
        <f t="shared" si="30"/>
        <v>57759499.724039502</v>
      </c>
      <c r="CG35" s="424">
        <f t="shared" si="30"/>
        <v>57759499.724039502</v>
      </c>
      <c r="CH35" s="424">
        <f t="shared" si="30"/>
        <v>57759499.724039502</v>
      </c>
      <c r="CI35" s="424">
        <f t="shared" si="30"/>
        <v>57759499.724039502</v>
      </c>
      <c r="CJ35" s="424">
        <f t="shared" si="30"/>
        <v>57759499.724039502</v>
      </c>
      <c r="CK35" s="424">
        <f t="shared" si="30"/>
        <v>57759499.724039502</v>
      </c>
      <c r="CL35" s="422">
        <f t="shared" si="30"/>
        <v>57759499.724039502</v>
      </c>
      <c r="CM35" s="397">
        <f t="shared" si="27"/>
        <v>57759499.724039495</v>
      </c>
      <c r="CN35" s="429" t="s">
        <v>317</v>
      </c>
      <c r="CO35" s="430">
        <v>2198.1265252613698</v>
      </c>
      <c r="CP35" s="430">
        <v>2198.1265252613698</v>
      </c>
      <c r="CQ35" s="430">
        <v>2198.1265252613698</v>
      </c>
      <c r="CR35" s="430">
        <v>2198.1265252613698</v>
      </c>
      <c r="CS35" s="430">
        <v>2198.1265252613698</v>
      </c>
      <c r="CT35" s="430">
        <v>2198.1265252613698</v>
      </c>
      <c r="CU35" s="430">
        <v>2198.1265252613698</v>
      </c>
      <c r="CV35" s="430">
        <v>2198.1265252613698</v>
      </c>
      <c r="CW35" s="430">
        <v>2204.6719970040999</v>
      </c>
      <c r="CX35" s="430">
        <v>2198.1265252613698</v>
      </c>
      <c r="CY35" s="430">
        <v>2204.6719970040999</v>
      </c>
      <c r="CZ35" s="430">
        <v>2211.21746874684</v>
      </c>
      <c r="DA35" s="430">
        <v>2217.7629404895802</v>
      </c>
      <c r="DB35" s="430">
        <v>2224.3084122323098</v>
      </c>
      <c r="DC35" s="430">
        <v>2230.8538839750499</v>
      </c>
      <c r="DD35" s="430">
        <v>2237.3993557177901</v>
      </c>
      <c r="DE35" s="430">
        <v>2243.9448274605202</v>
      </c>
      <c r="DF35" s="430">
        <v>2250.4902992032598</v>
      </c>
      <c r="DG35" s="430">
        <v>2257.03577094599</v>
      </c>
      <c r="DH35" s="430">
        <v>2263.5812426887301</v>
      </c>
      <c r="DI35" s="430">
        <v>2270.1267144314702</v>
      </c>
      <c r="DJ35" s="430">
        <v>2276.6721861741999</v>
      </c>
      <c r="DK35" s="430">
        <v>2283.21765791694</v>
      </c>
      <c r="DL35" s="430">
        <v>2289.7631296596801</v>
      </c>
      <c r="DM35" s="430">
        <v>2296.3086014024102</v>
      </c>
      <c r="DN35" s="430">
        <v>2302.8540731451499</v>
      </c>
      <c r="DO35" s="430">
        <v>2309.39954488788</v>
      </c>
      <c r="DP35" s="430">
        <v>2315.9450166306201</v>
      </c>
      <c r="DQ35" s="430">
        <v>2322.4904883733602</v>
      </c>
      <c r="DR35" s="430">
        <v>2329.0359601160899</v>
      </c>
      <c r="DS35" s="430">
        <v>2335.58143185883</v>
      </c>
      <c r="DT35" s="430">
        <v>2342.1269036015701</v>
      </c>
      <c r="DU35" s="430">
        <v>2348.6723753442998</v>
      </c>
      <c r="DV35" s="430">
        <v>2355.2178470870399</v>
      </c>
      <c r="DW35" s="430">
        <v>2361.76331882977</v>
      </c>
      <c r="DX35" s="430">
        <v>2368.3087905725101</v>
      </c>
      <c r="DY35" s="430">
        <v>2374.8542623152498</v>
      </c>
      <c r="DZ35" s="430">
        <v>2381.3997340579799</v>
      </c>
      <c r="EA35" s="430">
        <v>2387.94520580072</v>
      </c>
      <c r="EB35" s="430">
        <v>2394.4906775434602</v>
      </c>
      <c r="EC35" s="430">
        <v>1659</v>
      </c>
      <c r="ED35" s="430">
        <v>2237</v>
      </c>
      <c r="EE35" s="430">
        <v>2255.1410444563789</v>
      </c>
      <c r="EF35" s="430">
        <v>2146.2487431145209</v>
      </c>
      <c r="EG35" s="430">
        <v>2418.3910474276554</v>
      </c>
      <c r="EH35" s="430">
        <v>2701.6199743644243</v>
      </c>
      <c r="EI35" s="430">
        <v>2777.0407045596344</v>
      </c>
      <c r="EJ35" s="430">
        <v>2836.6205896021006</v>
      </c>
      <c r="EK35" s="430">
        <v>2780.2581602607625</v>
      </c>
      <c r="EL35" s="430">
        <v>3053.926570501239</v>
      </c>
      <c r="EM35" s="430">
        <v>2836.1664048306907</v>
      </c>
      <c r="EN35" s="430">
        <v>2611.932049598453</v>
      </c>
      <c r="EO35" s="430">
        <v>2577.919484614094</v>
      </c>
      <c r="EP35" s="430">
        <v>2856.2006891112787</v>
      </c>
      <c r="EQ35" s="430">
        <v>2469.3423214225581</v>
      </c>
      <c r="ER35" s="430">
        <v>2091.94</v>
      </c>
      <c r="ES35" s="430">
        <v>2025.12</v>
      </c>
      <c r="ET35" s="430">
        <v>2197.69</v>
      </c>
      <c r="EU35" s="430">
        <v>2450.21</v>
      </c>
      <c r="EV35" s="430">
        <v>2188.85</v>
      </c>
      <c r="EW35" s="430">
        <v>2098.58</v>
      </c>
      <c r="EX35" s="430">
        <v>2650.93</v>
      </c>
      <c r="EY35" s="430">
        <v>2588.92</v>
      </c>
      <c r="EZ35" s="430">
        <v>2922.37</v>
      </c>
      <c r="FA35" s="430">
        <v>2398.6999999999998</v>
      </c>
      <c r="FB35" s="430">
        <v>2269.4</v>
      </c>
      <c r="FC35" s="430">
        <v>1425.69</v>
      </c>
      <c r="FD35" s="430">
        <v>1908.42</v>
      </c>
      <c r="FE35" s="430">
        <v>1785.56</v>
      </c>
      <c r="FF35" s="430">
        <v>1111.8399999999999</v>
      </c>
      <c r="FG35" s="430">
        <v>1033.04</v>
      </c>
      <c r="FH35" s="430">
        <v>1321.01</v>
      </c>
      <c r="FI35" s="430">
        <v>1668.98</v>
      </c>
      <c r="FJ35" s="430">
        <v>1783.8</v>
      </c>
      <c r="FK35" s="430">
        <v>2035.2</v>
      </c>
      <c r="FL35" s="430">
        <v>2259.19</v>
      </c>
      <c r="FM35" s="430">
        <v>2699.1</v>
      </c>
      <c r="FN35" s="430">
        <v>3294.54</v>
      </c>
      <c r="FO35" s="430">
        <v>2840.46</v>
      </c>
      <c r="FP35" s="430">
        <v>2266.15</v>
      </c>
      <c r="FQ35" s="430">
        <v>2243.14</v>
      </c>
      <c r="FR35" s="430">
        <v>2506.4699999999998</v>
      </c>
      <c r="FS35" s="430">
        <v>2911.57</v>
      </c>
      <c r="FT35" s="430">
        <v>3467.2</v>
      </c>
      <c r="FU35" s="430">
        <v>3800.16</v>
      </c>
      <c r="FV35" s="271">
        <f t="shared" si="28"/>
        <v>2365.8008396414175</v>
      </c>
      <c r="FW35" s="312"/>
    </row>
    <row r="36" spans="1:179">
      <c r="A36" s="1066"/>
      <c r="B36" s="398" t="s">
        <v>305</v>
      </c>
      <c r="C36" s="399" t="s">
        <v>310</v>
      </c>
      <c r="D36" s="399">
        <v>0.51</v>
      </c>
      <c r="E36" s="1058"/>
      <c r="F36" s="422" t="s">
        <v>131</v>
      </c>
      <c r="G36" s="423">
        <f t="shared" ref="G36:BR36" si="31">$D$36*G16</f>
        <v>57274.352269521201</v>
      </c>
      <c r="H36" s="423">
        <f t="shared" si="31"/>
        <v>57274.352269521201</v>
      </c>
      <c r="I36" s="423">
        <f t="shared" si="31"/>
        <v>57274.352269521201</v>
      </c>
      <c r="J36" s="423">
        <f t="shared" si="31"/>
        <v>57274.352269521201</v>
      </c>
      <c r="K36" s="423">
        <f t="shared" si="31"/>
        <v>57274.352269521201</v>
      </c>
      <c r="L36" s="423">
        <f t="shared" si="31"/>
        <v>57274.352269521201</v>
      </c>
      <c r="M36" s="423">
        <f t="shared" si="31"/>
        <v>57274.352269521201</v>
      </c>
      <c r="N36" s="423">
        <f t="shared" si="31"/>
        <v>57274.352269521201</v>
      </c>
      <c r="O36" s="423">
        <f t="shared" si="31"/>
        <v>57274.352269521201</v>
      </c>
      <c r="P36" s="423">
        <f t="shared" si="31"/>
        <v>57274.352269521201</v>
      </c>
      <c r="Q36" s="423">
        <f t="shared" si="31"/>
        <v>57274.352269521201</v>
      </c>
      <c r="R36" s="423">
        <f t="shared" si="31"/>
        <v>57274.352269521201</v>
      </c>
      <c r="S36" s="423">
        <f t="shared" si="31"/>
        <v>57274.352269521201</v>
      </c>
      <c r="T36" s="423">
        <f t="shared" si="31"/>
        <v>57274.352269521201</v>
      </c>
      <c r="U36" s="423">
        <f t="shared" si="31"/>
        <v>57274.352269521201</v>
      </c>
      <c r="V36" s="423">
        <f t="shared" si="31"/>
        <v>57274.352269521201</v>
      </c>
      <c r="W36" s="423">
        <f t="shared" si="31"/>
        <v>57274.352269521201</v>
      </c>
      <c r="X36" s="423">
        <f t="shared" si="31"/>
        <v>57274.352269521201</v>
      </c>
      <c r="Y36" s="423">
        <f t="shared" si="31"/>
        <v>57274.352269521201</v>
      </c>
      <c r="Z36" s="423">
        <f t="shared" si="31"/>
        <v>57274.352269521201</v>
      </c>
      <c r="AA36" s="423">
        <f t="shared" si="31"/>
        <v>57274.352269521201</v>
      </c>
      <c r="AB36" s="423">
        <f t="shared" si="31"/>
        <v>57274.352269521201</v>
      </c>
      <c r="AC36" s="423">
        <f t="shared" si="31"/>
        <v>57274.352269521201</v>
      </c>
      <c r="AD36" s="423">
        <f t="shared" si="31"/>
        <v>57274.352269521201</v>
      </c>
      <c r="AE36" s="423">
        <f t="shared" si="31"/>
        <v>57274.352269521201</v>
      </c>
      <c r="AF36" s="423">
        <f t="shared" si="31"/>
        <v>57274.352269521201</v>
      </c>
      <c r="AG36" s="423">
        <f t="shared" si="31"/>
        <v>57274.352269521201</v>
      </c>
      <c r="AH36" s="423">
        <f t="shared" si="31"/>
        <v>57274.352269521201</v>
      </c>
      <c r="AI36" s="423">
        <f t="shared" si="31"/>
        <v>57274.352269521201</v>
      </c>
      <c r="AJ36" s="423">
        <f t="shared" si="31"/>
        <v>57274.352269521201</v>
      </c>
      <c r="AK36" s="423">
        <f t="shared" si="31"/>
        <v>57274.352269521201</v>
      </c>
      <c r="AL36" s="423">
        <f t="shared" si="31"/>
        <v>57274.352269521201</v>
      </c>
      <c r="AM36" s="423">
        <f t="shared" si="31"/>
        <v>57274.352269521201</v>
      </c>
      <c r="AN36" s="423">
        <f t="shared" si="31"/>
        <v>57274.352269521201</v>
      </c>
      <c r="AO36" s="423">
        <f t="shared" si="31"/>
        <v>57274.352269521201</v>
      </c>
      <c r="AP36" s="423">
        <f t="shared" si="31"/>
        <v>57274.352269521201</v>
      </c>
      <c r="AQ36" s="423">
        <f t="shared" si="31"/>
        <v>57274.352269521201</v>
      </c>
      <c r="AR36" s="423">
        <f t="shared" si="31"/>
        <v>57274.352269521201</v>
      </c>
      <c r="AS36" s="423">
        <f t="shared" si="31"/>
        <v>57274.352269521201</v>
      </c>
      <c r="AT36" s="423">
        <f t="shared" si="31"/>
        <v>57274.352269521201</v>
      </c>
      <c r="AU36" s="424">
        <f t="shared" si="31"/>
        <v>57274.352269521201</v>
      </c>
      <c r="AV36" s="424">
        <f t="shared" si="31"/>
        <v>57274.352269521201</v>
      </c>
      <c r="AW36" s="424">
        <f t="shared" si="31"/>
        <v>57274.352269521201</v>
      </c>
      <c r="AX36" s="424">
        <f t="shared" si="31"/>
        <v>57274.352269521201</v>
      </c>
      <c r="AY36" s="424">
        <f t="shared" si="31"/>
        <v>57274.352269521201</v>
      </c>
      <c r="AZ36" s="424">
        <f t="shared" si="31"/>
        <v>57274.352269521201</v>
      </c>
      <c r="BA36" s="424">
        <f t="shared" si="31"/>
        <v>57274.352269521201</v>
      </c>
      <c r="BB36" s="424">
        <f t="shared" si="31"/>
        <v>57274.352269521201</v>
      </c>
      <c r="BC36" s="424">
        <f t="shared" si="31"/>
        <v>57274.352269521201</v>
      </c>
      <c r="BD36" s="424">
        <f t="shared" si="31"/>
        <v>57274.352269521201</v>
      </c>
      <c r="BE36" s="424">
        <f t="shared" si="31"/>
        <v>57274.352269521201</v>
      </c>
      <c r="BF36" s="424">
        <f t="shared" si="31"/>
        <v>57274.352269521201</v>
      </c>
      <c r="BG36" s="424">
        <f t="shared" si="31"/>
        <v>57274.352269521201</v>
      </c>
      <c r="BH36" s="424">
        <f t="shared" si="31"/>
        <v>57274.352269521201</v>
      </c>
      <c r="BI36" s="424">
        <f t="shared" si="31"/>
        <v>57274.352269521201</v>
      </c>
      <c r="BJ36" s="424">
        <f t="shared" si="31"/>
        <v>57274.352269521201</v>
      </c>
      <c r="BK36" s="424">
        <f t="shared" si="31"/>
        <v>57274.352269521201</v>
      </c>
      <c r="BL36" s="424">
        <f t="shared" si="31"/>
        <v>57274.352269521201</v>
      </c>
      <c r="BM36" s="424">
        <f t="shared" si="31"/>
        <v>57274.352269521201</v>
      </c>
      <c r="BN36" s="424">
        <f t="shared" si="31"/>
        <v>57274.352269521201</v>
      </c>
      <c r="BO36" s="424">
        <f t="shared" si="31"/>
        <v>57274.352269521201</v>
      </c>
      <c r="BP36" s="424">
        <f t="shared" si="31"/>
        <v>57274.352269521201</v>
      </c>
      <c r="BQ36" s="424">
        <f t="shared" si="31"/>
        <v>57274.352269521201</v>
      </c>
      <c r="BR36" s="424">
        <f t="shared" si="31"/>
        <v>57274.352269521201</v>
      </c>
      <c r="BS36" s="424">
        <f t="shared" ref="BS36:CL36" si="32">$D$36*BS16</f>
        <v>57274.352269521201</v>
      </c>
      <c r="BT36" s="424">
        <f t="shared" si="32"/>
        <v>57274.352269521201</v>
      </c>
      <c r="BU36" s="424">
        <f t="shared" si="32"/>
        <v>57274.352269521201</v>
      </c>
      <c r="BV36" s="424">
        <f t="shared" si="32"/>
        <v>57274.352269521201</v>
      </c>
      <c r="BW36" s="424">
        <f t="shared" si="32"/>
        <v>57274.352269521201</v>
      </c>
      <c r="BX36" s="424">
        <f t="shared" si="32"/>
        <v>57274.352269521201</v>
      </c>
      <c r="BY36" s="424">
        <f t="shared" si="32"/>
        <v>57274.352269521201</v>
      </c>
      <c r="BZ36" s="424">
        <f t="shared" si="32"/>
        <v>57274.352269521201</v>
      </c>
      <c r="CA36" s="424">
        <f t="shared" si="32"/>
        <v>57274.352269521201</v>
      </c>
      <c r="CB36" s="424">
        <f t="shared" si="32"/>
        <v>57274.352269521201</v>
      </c>
      <c r="CC36" s="424">
        <f t="shared" si="32"/>
        <v>57274.352269521201</v>
      </c>
      <c r="CD36" s="424">
        <f t="shared" si="32"/>
        <v>57274.352269521201</v>
      </c>
      <c r="CE36" s="424">
        <f t="shared" si="32"/>
        <v>57274.352269521201</v>
      </c>
      <c r="CF36" s="424">
        <f t="shared" si="32"/>
        <v>57274.352269521201</v>
      </c>
      <c r="CG36" s="424">
        <f t="shared" si="32"/>
        <v>57274.352269521201</v>
      </c>
      <c r="CH36" s="424">
        <f t="shared" si="32"/>
        <v>57274.352269521201</v>
      </c>
      <c r="CI36" s="424">
        <f t="shared" si="32"/>
        <v>57274.352269521201</v>
      </c>
      <c r="CJ36" s="424">
        <f t="shared" si="32"/>
        <v>57274.352269521201</v>
      </c>
      <c r="CK36" s="424">
        <f t="shared" si="32"/>
        <v>57274.352269521201</v>
      </c>
      <c r="CL36" s="422">
        <f t="shared" si="32"/>
        <v>57274.352269521201</v>
      </c>
      <c r="CM36" s="397">
        <f t="shared" si="27"/>
        <v>57274.352269521085</v>
      </c>
      <c r="CN36" s="429" t="s">
        <v>318</v>
      </c>
      <c r="CO36" s="430">
        <v>36.979805128205101</v>
      </c>
      <c r="CP36" s="430">
        <v>36.979805128205101</v>
      </c>
      <c r="CQ36" s="430">
        <v>36.979805128205101</v>
      </c>
      <c r="CR36" s="430">
        <v>36.979805128205101</v>
      </c>
      <c r="CS36" s="430">
        <v>36.979805128205101</v>
      </c>
      <c r="CT36" s="430">
        <v>36.979805128205101</v>
      </c>
      <c r="CU36" s="430">
        <v>36.979805128205101</v>
      </c>
      <c r="CV36" s="430">
        <v>36.979805128205101</v>
      </c>
      <c r="CW36" s="430">
        <v>37.756290598290597</v>
      </c>
      <c r="CX36" s="430">
        <v>36.979805128205101</v>
      </c>
      <c r="CY36" s="430">
        <v>37.756290598290597</v>
      </c>
      <c r="CZ36" s="430">
        <v>38.532776068376101</v>
      </c>
      <c r="DA36" s="430">
        <v>39.309261538461499</v>
      </c>
      <c r="DB36" s="430">
        <v>40.085747008547003</v>
      </c>
      <c r="DC36" s="430">
        <v>40.8622324786325</v>
      </c>
      <c r="DD36" s="430">
        <v>41.638717948718003</v>
      </c>
      <c r="DE36" s="430">
        <v>42.415203418803401</v>
      </c>
      <c r="DF36" s="430">
        <v>43.191688888888898</v>
      </c>
      <c r="DG36" s="430">
        <v>43.968174358974402</v>
      </c>
      <c r="DH36" s="430">
        <v>44.744659829059799</v>
      </c>
      <c r="DI36" s="430">
        <v>45.521145299145303</v>
      </c>
      <c r="DJ36" s="430">
        <v>46.2976307692308</v>
      </c>
      <c r="DK36" s="430">
        <v>47.074116239316197</v>
      </c>
      <c r="DL36" s="430">
        <v>47.850601709401701</v>
      </c>
      <c r="DM36" s="430">
        <v>48.627087179487198</v>
      </c>
      <c r="DN36" s="430">
        <v>49.403572649572702</v>
      </c>
      <c r="DO36" s="430">
        <v>50.180058119658099</v>
      </c>
      <c r="DP36" s="430">
        <v>50.956543589743603</v>
      </c>
      <c r="DQ36" s="430">
        <v>51.7330290598291</v>
      </c>
      <c r="DR36" s="430">
        <v>52.509514529914497</v>
      </c>
      <c r="DS36" s="430">
        <v>53.286000000000001</v>
      </c>
      <c r="DT36" s="430">
        <v>54.062485470085498</v>
      </c>
      <c r="DU36" s="430">
        <v>54.838970940170903</v>
      </c>
      <c r="DV36" s="430">
        <v>55.6154564102564</v>
      </c>
      <c r="DW36" s="430">
        <v>56.391941880341903</v>
      </c>
      <c r="DX36" s="430">
        <v>57.1684273504274</v>
      </c>
      <c r="DY36" s="430">
        <v>57.944912820512798</v>
      </c>
      <c r="DZ36" s="430">
        <v>58.721398290598302</v>
      </c>
      <c r="EA36" s="430">
        <v>59.497883760683798</v>
      </c>
      <c r="EB36" s="430">
        <v>60.274369230769203</v>
      </c>
      <c r="EC36" s="430">
        <v>56.1</v>
      </c>
      <c r="ED36" s="430">
        <v>57.6</v>
      </c>
      <c r="EE36" s="430">
        <v>55.7</v>
      </c>
      <c r="EF36" s="430">
        <v>59.95</v>
      </c>
      <c r="EG36" s="430">
        <v>68.569999999999993</v>
      </c>
      <c r="EH36" s="430">
        <v>79.7</v>
      </c>
      <c r="EI36" s="430">
        <v>85.01</v>
      </c>
      <c r="EJ36" s="430">
        <v>73.42</v>
      </c>
      <c r="EK36" s="430">
        <v>68.25</v>
      </c>
      <c r="EL36" s="430">
        <v>53.25</v>
      </c>
      <c r="EM36" s="430">
        <v>65.459999999999994</v>
      </c>
      <c r="EN36" s="430">
        <v>60.93</v>
      </c>
      <c r="EO36" s="430">
        <v>59.7</v>
      </c>
      <c r="EP36" s="430">
        <v>58.94</v>
      </c>
      <c r="EQ36" s="430">
        <v>57.95</v>
      </c>
      <c r="ER36" s="430">
        <v>78.48</v>
      </c>
      <c r="ES36" s="430">
        <v>82.51</v>
      </c>
      <c r="ET36" s="430">
        <v>83.6</v>
      </c>
      <c r="EU36" s="430">
        <v>102.15</v>
      </c>
      <c r="EV36" s="430">
        <v>74.58</v>
      </c>
      <c r="EW36" s="430">
        <v>78.45</v>
      </c>
      <c r="EX36" s="430">
        <v>76.87</v>
      </c>
      <c r="EY36" s="430">
        <v>82.39</v>
      </c>
      <c r="EZ36" s="430">
        <v>77.88</v>
      </c>
      <c r="FA36" s="430">
        <v>75.39</v>
      </c>
      <c r="FB36" s="430">
        <v>66.849999999999994</v>
      </c>
      <c r="FC36" s="430">
        <v>64.58</v>
      </c>
      <c r="FD36" s="430">
        <v>84.97</v>
      </c>
      <c r="FE36" s="430">
        <v>78.069999999999993</v>
      </c>
      <c r="FF36" s="430">
        <v>71.17</v>
      </c>
      <c r="FG36" s="430">
        <v>68.23</v>
      </c>
      <c r="FH36" s="430">
        <v>69.2</v>
      </c>
      <c r="FI36" s="430">
        <v>71.16</v>
      </c>
      <c r="FJ36" s="430">
        <v>82.9</v>
      </c>
      <c r="FK36" s="430">
        <v>88.88</v>
      </c>
      <c r="FL36" s="430">
        <v>80.14</v>
      </c>
      <c r="FM36" s="430">
        <v>89.43</v>
      </c>
      <c r="FN36" s="430">
        <v>102.78</v>
      </c>
      <c r="FO36" s="430">
        <v>102.25</v>
      </c>
      <c r="FP36" s="430">
        <v>100.32</v>
      </c>
      <c r="FQ36" s="430">
        <v>81.34</v>
      </c>
      <c r="FR36" s="430">
        <v>90.67</v>
      </c>
      <c r="FS36" s="430">
        <v>91.86</v>
      </c>
      <c r="FT36" s="430">
        <v>95.99</v>
      </c>
      <c r="FU36" s="430">
        <v>94.95</v>
      </c>
      <c r="FV36" s="271">
        <f t="shared" si="28"/>
        <v>76.634888888888895</v>
      </c>
      <c r="FW36" s="312"/>
    </row>
    <row r="37" spans="1:179" ht="26.25" customHeight="1">
      <c r="A37" s="1066"/>
      <c r="B37" s="398" t="s">
        <v>305</v>
      </c>
      <c r="C37" s="399" t="s">
        <v>319</v>
      </c>
      <c r="D37" s="399">
        <v>0.14000000000000001</v>
      </c>
      <c r="E37" s="1058"/>
      <c r="F37" s="422" t="s">
        <v>130</v>
      </c>
      <c r="G37" s="423">
        <f t="shared" ref="G37:BR37" si="33">$D$37*G16</f>
        <v>15722.371211241114</v>
      </c>
      <c r="H37" s="423">
        <f t="shared" si="33"/>
        <v>15722.371211241114</v>
      </c>
      <c r="I37" s="423">
        <f t="shared" si="33"/>
        <v>15722.371211241114</v>
      </c>
      <c r="J37" s="423">
        <f t="shared" si="33"/>
        <v>15722.371211241114</v>
      </c>
      <c r="K37" s="423">
        <f t="shared" si="33"/>
        <v>15722.371211241114</v>
      </c>
      <c r="L37" s="423">
        <f t="shared" si="33"/>
        <v>15722.371211241114</v>
      </c>
      <c r="M37" s="423">
        <f t="shared" si="33"/>
        <v>15722.371211241114</v>
      </c>
      <c r="N37" s="423">
        <f t="shared" si="33"/>
        <v>15722.371211241114</v>
      </c>
      <c r="O37" s="423">
        <f t="shared" si="33"/>
        <v>15722.371211241114</v>
      </c>
      <c r="P37" s="423">
        <f t="shared" si="33"/>
        <v>15722.371211241114</v>
      </c>
      <c r="Q37" s="423">
        <f t="shared" si="33"/>
        <v>15722.371211241114</v>
      </c>
      <c r="R37" s="423">
        <f t="shared" si="33"/>
        <v>15722.371211241114</v>
      </c>
      <c r="S37" s="423">
        <f t="shared" si="33"/>
        <v>15722.371211241114</v>
      </c>
      <c r="T37" s="423">
        <f t="shared" si="33"/>
        <v>15722.371211241114</v>
      </c>
      <c r="U37" s="423">
        <f t="shared" si="33"/>
        <v>15722.371211241114</v>
      </c>
      <c r="V37" s="423">
        <f t="shared" si="33"/>
        <v>15722.371211241114</v>
      </c>
      <c r="W37" s="423">
        <f t="shared" si="33"/>
        <v>15722.371211241114</v>
      </c>
      <c r="X37" s="423">
        <f t="shared" si="33"/>
        <v>15722.371211241114</v>
      </c>
      <c r="Y37" s="423">
        <f t="shared" si="33"/>
        <v>15722.371211241114</v>
      </c>
      <c r="Z37" s="423">
        <f t="shared" si="33"/>
        <v>15722.371211241114</v>
      </c>
      <c r="AA37" s="423">
        <f t="shared" si="33"/>
        <v>15722.371211241114</v>
      </c>
      <c r="AB37" s="423">
        <f t="shared" si="33"/>
        <v>15722.371211241114</v>
      </c>
      <c r="AC37" s="423">
        <f t="shared" si="33"/>
        <v>15722.371211241114</v>
      </c>
      <c r="AD37" s="423">
        <f t="shared" si="33"/>
        <v>15722.371211241114</v>
      </c>
      <c r="AE37" s="423">
        <f t="shared" si="33"/>
        <v>15722.371211241114</v>
      </c>
      <c r="AF37" s="423">
        <f t="shared" si="33"/>
        <v>15722.371211241114</v>
      </c>
      <c r="AG37" s="423">
        <f t="shared" si="33"/>
        <v>15722.371211241114</v>
      </c>
      <c r="AH37" s="423">
        <f t="shared" si="33"/>
        <v>15722.371211241114</v>
      </c>
      <c r="AI37" s="423">
        <f t="shared" si="33"/>
        <v>15722.371211241114</v>
      </c>
      <c r="AJ37" s="423">
        <f t="shared" si="33"/>
        <v>15722.371211241114</v>
      </c>
      <c r="AK37" s="423">
        <f t="shared" si="33"/>
        <v>15722.371211241114</v>
      </c>
      <c r="AL37" s="423">
        <f t="shared" si="33"/>
        <v>15722.371211241114</v>
      </c>
      <c r="AM37" s="423">
        <f t="shared" si="33"/>
        <v>15722.371211241114</v>
      </c>
      <c r="AN37" s="423">
        <f t="shared" si="33"/>
        <v>15722.371211241114</v>
      </c>
      <c r="AO37" s="423">
        <f t="shared" si="33"/>
        <v>15722.371211241114</v>
      </c>
      <c r="AP37" s="423">
        <f t="shared" si="33"/>
        <v>15722.371211241114</v>
      </c>
      <c r="AQ37" s="423">
        <f t="shared" si="33"/>
        <v>15722.371211241114</v>
      </c>
      <c r="AR37" s="423">
        <f t="shared" si="33"/>
        <v>15722.371211241114</v>
      </c>
      <c r="AS37" s="423">
        <f t="shared" si="33"/>
        <v>15722.371211241114</v>
      </c>
      <c r="AT37" s="423">
        <f t="shared" si="33"/>
        <v>15722.371211241114</v>
      </c>
      <c r="AU37" s="424">
        <f t="shared" si="33"/>
        <v>15722.371211241114</v>
      </c>
      <c r="AV37" s="424">
        <f t="shared" si="33"/>
        <v>15722.371211241114</v>
      </c>
      <c r="AW37" s="424">
        <f t="shared" si="33"/>
        <v>15722.371211241114</v>
      </c>
      <c r="AX37" s="424">
        <f t="shared" si="33"/>
        <v>15722.371211241114</v>
      </c>
      <c r="AY37" s="424">
        <f t="shared" si="33"/>
        <v>15722.371211241114</v>
      </c>
      <c r="AZ37" s="424">
        <f t="shared" si="33"/>
        <v>15722.371211241114</v>
      </c>
      <c r="BA37" s="424">
        <f t="shared" si="33"/>
        <v>15722.371211241114</v>
      </c>
      <c r="BB37" s="424">
        <f t="shared" si="33"/>
        <v>15722.371211241114</v>
      </c>
      <c r="BC37" s="424">
        <f t="shared" si="33"/>
        <v>15722.371211241114</v>
      </c>
      <c r="BD37" s="424">
        <f t="shared" si="33"/>
        <v>15722.371211241114</v>
      </c>
      <c r="BE37" s="424">
        <f t="shared" si="33"/>
        <v>15722.371211241114</v>
      </c>
      <c r="BF37" s="424">
        <f t="shared" si="33"/>
        <v>15722.371211241114</v>
      </c>
      <c r="BG37" s="424">
        <f t="shared" si="33"/>
        <v>15722.371211241114</v>
      </c>
      <c r="BH37" s="424">
        <f t="shared" si="33"/>
        <v>15722.371211241114</v>
      </c>
      <c r="BI37" s="424">
        <f t="shared" si="33"/>
        <v>15722.371211241114</v>
      </c>
      <c r="BJ37" s="424">
        <f t="shared" si="33"/>
        <v>15722.371211241114</v>
      </c>
      <c r="BK37" s="424">
        <f t="shared" si="33"/>
        <v>15722.371211241114</v>
      </c>
      <c r="BL37" s="424">
        <f t="shared" si="33"/>
        <v>15722.371211241114</v>
      </c>
      <c r="BM37" s="424">
        <f t="shared" si="33"/>
        <v>15722.371211241114</v>
      </c>
      <c r="BN37" s="424">
        <f t="shared" si="33"/>
        <v>15722.371211241114</v>
      </c>
      <c r="BO37" s="424">
        <f t="shared" si="33"/>
        <v>15722.371211241114</v>
      </c>
      <c r="BP37" s="424">
        <f t="shared" si="33"/>
        <v>15722.371211241114</v>
      </c>
      <c r="BQ37" s="424">
        <f t="shared" si="33"/>
        <v>15722.371211241114</v>
      </c>
      <c r="BR37" s="424">
        <f t="shared" si="33"/>
        <v>15722.371211241114</v>
      </c>
      <c r="BS37" s="424">
        <f t="shared" ref="BS37:CL37" si="34">$D$37*BS16</f>
        <v>15722.371211241114</v>
      </c>
      <c r="BT37" s="424">
        <f t="shared" si="34"/>
        <v>15722.371211241114</v>
      </c>
      <c r="BU37" s="424">
        <f t="shared" si="34"/>
        <v>15722.371211241114</v>
      </c>
      <c r="BV37" s="424">
        <f t="shared" si="34"/>
        <v>15722.371211241114</v>
      </c>
      <c r="BW37" s="424">
        <f t="shared" si="34"/>
        <v>15722.371211241114</v>
      </c>
      <c r="BX37" s="424">
        <f t="shared" si="34"/>
        <v>15722.371211241114</v>
      </c>
      <c r="BY37" s="424">
        <f t="shared" si="34"/>
        <v>15722.371211241114</v>
      </c>
      <c r="BZ37" s="424">
        <f t="shared" si="34"/>
        <v>15722.371211241114</v>
      </c>
      <c r="CA37" s="424">
        <f t="shared" si="34"/>
        <v>15722.371211241114</v>
      </c>
      <c r="CB37" s="424">
        <f t="shared" si="34"/>
        <v>15722.371211241114</v>
      </c>
      <c r="CC37" s="424">
        <f t="shared" si="34"/>
        <v>15722.371211241114</v>
      </c>
      <c r="CD37" s="424">
        <f t="shared" si="34"/>
        <v>15722.371211241114</v>
      </c>
      <c r="CE37" s="424">
        <f t="shared" si="34"/>
        <v>15722.371211241114</v>
      </c>
      <c r="CF37" s="424">
        <f t="shared" si="34"/>
        <v>15722.371211241114</v>
      </c>
      <c r="CG37" s="424">
        <f t="shared" si="34"/>
        <v>15722.371211241114</v>
      </c>
      <c r="CH37" s="424">
        <f t="shared" si="34"/>
        <v>15722.371211241114</v>
      </c>
      <c r="CI37" s="424">
        <f t="shared" si="34"/>
        <v>15722.371211241114</v>
      </c>
      <c r="CJ37" s="424">
        <f t="shared" si="34"/>
        <v>15722.371211241114</v>
      </c>
      <c r="CK37" s="424">
        <f t="shared" si="34"/>
        <v>15722.371211241114</v>
      </c>
      <c r="CL37" s="422">
        <f t="shared" si="34"/>
        <v>15722.371211241114</v>
      </c>
      <c r="CM37" s="397">
        <f t="shared" si="27"/>
        <v>15722.37121124109</v>
      </c>
      <c r="CN37" s="429" t="s">
        <v>179</v>
      </c>
      <c r="CO37" s="430">
        <v>3.25</v>
      </c>
      <c r="CP37" s="430">
        <v>3.25</v>
      </c>
      <c r="CQ37" s="430">
        <v>3.25</v>
      </c>
      <c r="CR37" s="430">
        <v>3.25</v>
      </c>
      <c r="CS37" s="430">
        <v>3.25</v>
      </c>
      <c r="CT37" s="430">
        <v>3.5</v>
      </c>
      <c r="CU37" s="430">
        <v>3.5</v>
      </c>
      <c r="CV37" s="430">
        <v>3.5</v>
      </c>
      <c r="CW37" s="430">
        <v>3.5</v>
      </c>
      <c r="CX37" s="430">
        <v>3.5</v>
      </c>
      <c r="CY37" s="430">
        <v>3.5</v>
      </c>
      <c r="CZ37" s="430">
        <v>3.5</v>
      </c>
      <c r="DA37" s="430">
        <v>3.5</v>
      </c>
      <c r="DB37" s="430">
        <v>3.5</v>
      </c>
      <c r="DC37" s="430">
        <v>3.5</v>
      </c>
      <c r="DD37" s="430">
        <v>3.5</v>
      </c>
      <c r="DE37" s="430">
        <v>3.5574974358974401</v>
      </c>
      <c r="DF37" s="430">
        <v>3.5365333333333302</v>
      </c>
      <c r="DG37" s="430">
        <v>3.5155692307692301</v>
      </c>
      <c r="DH37" s="430">
        <v>3.49460512820513</v>
      </c>
      <c r="DI37" s="430">
        <v>3.4736410256410299</v>
      </c>
      <c r="DJ37" s="430">
        <v>3.4526769230769201</v>
      </c>
      <c r="DK37" s="430">
        <v>3.43171282051282</v>
      </c>
      <c r="DL37" s="430">
        <v>3.4107487179487199</v>
      </c>
      <c r="DM37" s="430">
        <v>3.3897846153846101</v>
      </c>
      <c r="DN37" s="430">
        <v>3.36882051282051</v>
      </c>
      <c r="DO37" s="430">
        <v>3.3478564102564099</v>
      </c>
      <c r="DP37" s="430">
        <v>3.3268923076923098</v>
      </c>
      <c r="DQ37" s="430">
        <v>3.3059282051282</v>
      </c>
      <c r="DR37" s="430">
        <v>3.2849641025640999</v>
      </c>
      <c r="DS37" s="430">
        <v>3.2639999999999998</v>
      </c>
      <c r="DT37" s="430">
        <v>3.2430358974359002</v>
      </c>
      <c r="DU37" s="430">
        <v>3.2220717948717899</v>
      </c>
      <c r="DV37" s="430">
        <v>3.2011076923076902</v>
      </c>
      <c r="DW37" s="430">
        <v>3.1801435897435901</v>
      </c>
      <c r="DX37" s="430">
        <v>3.15917948717949</v>
      </c>
      <c r="DY37" s="430">
        <v>3.1382153846153802</v>
      </c>
      <c r="DZ37" s="430">
        <v>3.1172512820512801</v>
      </c>
      <c r="EA37" s="430">
        <v>3.09628717948718</v>
      </c>
      <c r="EB37" s="430">
        <v>3.0753230769230799</v>
      </c>
      <c r="EC37" s="430">
        <v>2.19</v>
      </c>
      <c r="ED37" s="430">
        <v>3.16</v>
      </c>
      <c r="EE37" s="430">
        <v>3.15</v>
      </c>
      <c r="EF37" s="430">
        <v>2.71</v>
      </c>
      <c r="EG37" s="430">
        <v>2.67</v>
      </c>
      <c r="EH37" s="430">
        <v>2.98</v>
      </c>
      <c r="EI37" s="430">
        <v>3.6</v>
      </c>
      <c r="EJ37" s="430">
        <v>3.3</v>
      </c>
      <c r="EK37" s="430">
        <v>3.19</v>
      </c>
      <c r="EL37" s="430">
        <v>3.54</v>
      </c>
      <c r="EM37" s="430">
        <v>3.04</v>
      </c>
      <c r="EN37" s="430">
        <v>2.95</v>
      </c>
      <c r="EO37" s="430">
        <v>2.5499999999999998</v>
      </c>
      <c r="EP37" s="430">
        <v>3.17</v>
      </c>
      <c r="EQ37" s="430">
        <v>2.7</v>
      </c>
      <c r="ER37" s="430">
        <v>2.14</v>
      </c>
      <c r="ES37" s="430">
        <v>2.11</v>
      </c>
      <c r="ET37" s="430">
        <v>2.31</v>
      </c>
      <c r="EU37" s="430">
        <v>2.5499999999999998</v>
      </c>
      <c r="EV37" s="430">
        <v>2.8</v>
      </c>
      <c r="EW37" s="430">
        <v>2.42</v>
      </c>
      <c r="EX37" s="430">
        <v>2.8</v>
      </c>
      <c r="EY37" s="430">
        <v>2.73</v>
      </c>
      <c r="EZ37" s="430">
        <v>2.99</v>
      </c>
      <c r="FA37" s="430">
        <v>2.38</v>
      </c>
      <c r="FB37" s="430">
        <v>2.4700000000000002</v>
      </c>
      <c r="FC37" s="430">
        <v>1.66</v>
      </c>
      <c r="FD37" s="430">
        <v>2.34</v>
      </c>
      <c r="FE37" s="430">
        <v>2.73</v>
      </c>
      <c r="FF37" s="430">
        <v>1.44</v>
      </c>
      <c r="FG37" s="430">
        <v>1.22</v>
      </c>
      <c r="FH37" s="430">
        <v>1.58</v>
      </c>
      <c r="FI37" s="430">
        <v>2.04</v>
      </c>
      <c r="FJ37" s="430">
        <v>2.15</v>
      </c>
      <c r="FK37" s="430">
        <v>2.37</v>
      </c>
      <c r="FL37" s="430">
        <v>2.61</v>
      </c>
      <c r="FM37" s="430">
        <v>2.96</v>
      </c>
      <c r="FN37" s="430">
        <v>3.52</v>
      </c>
      <c r="FO37" s="430">
        <v>3.35</v>
      </c>
      <c r="FP37" s="430">
        <v>2.69</v>
      </c>
      <c r="FQ37" s="430">
        <v>2.57</v>
      </c>
      <c r="FR37" s="430">
        <v>2.83</v>
      </c>
      <c r="FS37" s="430">
        <v>3.48</v>
      </c>
      <c r="FT37" s="430">
        <v>3.56</v>
      </c>
      <c r="FU37" s="430">
        <v>3.74</v>
      </c>
      <c r="FV37" s="271">
        <f t="shared" si="28"/>
        <v>2.6986666666666661</v>
      </c>
      <c r="FW37" s="312"/>
    </row>
    <row r="38" spans="1:179">
      <c r="A38" s="1066"/>
      <c r="B38" s="398" t="s">
        <v>305</v>
      </c>
      <c r="C38" s="399" t="s">
        <v>320</v>
      </c>
      <c r="D38" s="399">
        <v>15.58</v>
      </c>
      <c r="E38" s="1058"/>
      <c r="F38" s="422" t="s">
        <v>129</v>
      </c>
      <c r="G38" s="423">
        <f t="shared" ref="G38:BR38" si="35">$D$38*G16</f>
        <v>1749675.3105081182</v>
      </c>
      <c r="H38" s="423">
        <f t="shared" si="35"/>
        <v>1749675.3105081182</v>
      </c>
      <c r="I38" s="423">
        <f t="shared" si="35"/>
        <v>1749675.3105081182</v>
      </c>
      <c r="J38" s="423">
        <f t="shared" si="35"/>
        <v>1749675.3105081182</v>
      </c>
      <c r="K38" s="423">
        <f t="shared" si="35"/>
        <v>1749675.3105081182</v>
      </c>
      <c r="L38" s="423">
        <f t="shared" si="35"/>
        <v>1749675.3105081182</v>
      </c>
      <c r="M38" s="423">
        <f t="shared" si="35"/>
        <v>1749675.3105081182</v>
      </c>
      <c r="N38" s="423">
        <f t="shared" si="35"/>
        <v>1749675.3105081182</v>
      </c>
      <c r="O38" s="423">
        <f t="shared" si="35"/>
        <v>1749675.3105081182</v>
      </c>
      <c r="P38" s="423">
        <f t="shared" si="35"/>
        <v>1749675.3105081182</v>
      </c>
      <c r="Q38" s="423">
        <f t="shared" si="35"/>
        <v>1749675.3105081182</v>
      </c>
      <c r="R38" s="423">
        <f t="shared" si="35"/>
        <v>1749675.3105081182</v>
      </c>
      <c r="S38" s="423">
        <f t="shared" si="35"/>
        <v>1749675.3105081182</v>
      </c>
      <c r="T38" s="423">
        <f t="shared" si="35"/>
        <v>1749675.3105081182</v>
      </c>
      <c r="U38" s="423">
        <f t="shared" si="35"/>
        <v>1749675.3105081182</v>
      </c>
      <c r="V38" s="423">
        <f t="shared" si="35"/>
        <v>1749675.3105081182</v>
      </c>
      <c r="W38" s="423">
        <f t="shared" si="35"/>
        <v>1749675.3105081182</v>
      </c>
      <c r="X38" s="423">
        <f t="shared" si="35"/>
        <v>1749675.3105081182</v>
      </c>
      <c r="Y38" s="423">
        <f t="shared" si="35"/>
        <v>1749675.3105081182</v>
      </c>
      <c r="Z38" s="423">
        <f t="shared" si="35"/>
        <v>1749675.3105081182</v>
      </c>
      <c r="AA38" s="423">
        <f t="shared" si="35"/>
        <v>1749675.3105081182</v>
      </c>
      <c r="AB38" s="423">
        <f t="shared" si="35"/>
        <v>1749675.3105081182</v>
      </c>
      <c r="AC38" s="423">
        <f t="shared" si="35"/>
        <v>1749675.3105081182</v>
      </c>
      <c r="AD38" s="423">
        <f t="shared" si="35"/>
        <v>1749675.3105081182</v>
      </c>
      <c r="AE38" s="423">
        <f t="shared" si="35"/>
        <v>1749675.3105081182</v>
      </c>
      <c r="AF38" s="423">
        <f t="shared" si="35"/>
        <v>1749675.3105081182</v>
      </c>
      <c r="AG38" s="423">
        <f t="shared" si="35"/>
        <v>1749675.3105081182</v>
      </c>
      <c r="AH38" s="423">
        <f t="shared" si="35"/>
        <v>1749675.3105081182</v>
      </c>
      <c r="AI38" s="423">
        <f t="shared" si="35"/>
        <v>1749675.3105081182</v>
      </c>
      <c r="AJ38" s="423">
        <f t="shared" si="35"/>
        <v>1749675.3105081182</v>
      </c>
      <c r="AK38" s="423">
        <f t="shared" si="35"/>
        <v>1749675.3105081182</v>
      </c>
      <c r="AL38" s="423">
        <f t="shared" si="35"/>
        <v>1749675.3105081182</v>
      </c>
      <c r="AM38" s="423">
        <f t="shared" si="35"/>
        <v>1749675.3105081182</v>
      </c>
      <c r="AN38" s="423">
        <f t="shared" si="35"/>
        <v>1749675.3105081182</v>
      </c>
      <c r="AO38" s="423">
        <f t="shared" si="35"/>
        <v>1749675.3105081182</v>
      </c>
      <c r="AP38" s="423">
        <f t="shared" si="35"/>
        <v>1749675.3105081182</v>
      </c>
      <c r="AQ38" s="423">
        <f t="shared" si="35"/>
        <v>1749675.3105081182</v>
      </c>
      <c r="AR38" s="423">
        <f t="shared" si="35"/>
        <v>1749675.3105081182</v>
      </c>
      <c r="AS38" s="423">
        <f t="shared" si="35"/>
        <v>1749675.3105081182</v>
      </c>
      <c r="AT38" s="423">
        <f t="shared" si="35"/>
        <v>1749675.3105081182</v>
      </c>
      <c r="AU38" s="424">
        <f t="shared" si="35"/>
        <v>1749675.3105081182</v>
      </c>
      <c r="AV38" s="424">
        <f t="shared" si="35"/>
        <v>1749675.3105081182</v>
      </c>
      <c r="AW38" s="424">
        <f t="shared" si="35"/>
        <v>1749675.3105081182</v>
      </c>
      <c r="AX38" s="424">
        <f t="shared" si="35"/>
        <v>1749675.3105081182</v>
      </c>
      <c r="AY38" s="424">
        <f t="shared" si="35"/>
        <v>1749675.3105081182</v>
      </c>
      <c r="AZ38" s="424">
        <f t="shared" si="35"/>
        <v>1749675.3105081182</v>
      </c>
      <c r="BA38" s="424">
        <f t="shared" si="35"/>
        <v>1749675.3105081182</v>
      </c>
      <c r="BB38" s="424">
        <f t="shared" si="35"/>
        <v>1749675.3105081182</v>
      </c>
      <c r="BC38" s="424">
        <f t="shared" si="35"/>
        <v>1749675.3105081182</v>
      </c>
      <c r="BD38" s="424">
        <f t="shared" si="35"/>
        <v>1749675.3105081182</v>
      </c>
      <c r="BE38" s="424">
        <f t="shared" si="35"/>
        <v>1749675.3105081182</v>
      </c>
      <c r="BF38" s="424">
        <f t="shared" si="35"/>
        <v>1749675.3105081182</v>
      </c>
      <c r="BG38" s="424">
        <f t="shared" si="35"/>
        <v>1749675.3105081182</v>
      </c>
      <c r="BH38" s="424">
        <f t="shared" si="35"/>
        <v>1749675.3105081182</v>
      </c>
      <c r="BI38" s="424">
        <f t="shared" si="35"/>
        <v>1749675.3105081182</v>
      </c>
      <c r="BJ38" s="424">
        <f t="shared" si="35"/>
        <v>1749675.3105081182</v>
      </c>
      <c r="BK38" s="424">
        <f t="shared" si="35"/>
        <v>1749675.3105081182</v>
      </c>
      <c r="BL38" s="424">
        <f t="shared" si="35"/>
        <v>1749675.3105081182</v>
      </c>
      <c r="BM38" s="424">
        <f t="shared" si="35"/>
        <v>1749675.3105081182</v>
      </c>
      <c r="BN38" s="424">
        <f t="shared" si="35"/>
        <v>1749675.3105081182</v>
      </c>
      <c r="BO38" s="424">
        <f t="shared" si="35"/>
        <v>1749675.3105081182</v>
      </c>
      <c r="BP38" s="424">
        <f t="shared" si="35"/>
        <v>1749675.3105081182</v>
      </c>
      <c r="BQ38" s="424">
        <f t="shared" si="35"/>
        <v>1749675.3105081182</v>
      </c>
      <c r="BR38" s="424">
        <f t="shared" si="35"/>
        <v>1749675.3105081182</v>
      </c>
      <c r="BS38" s="424">
        <f t="shared" ref="BS38:CL38" si="36">$D$38*BS16</f>
        <v>1749675.3105081182</v>
      </c>
      <c r="BT38" s="424">
        <f t="shared" si="36"/>
        <v>1749675.3105081182</v>
      </c>
      <c r="BU38" s="424">
        <f t="shared" si="36"/>
        <v>1749675.3105081182</v>
      </c>
      <c r="BV38" s="424">
        <f t="shared" si="36"/>
        <v>1749675.3105081182</v>
      </c>
      <c r="BW38" s="424">
        <f t="shared" si="36"/>
        <v>1749675.3105081182</v>
      </c>
      <c r="BX38" s="424">
        <f t="shared" si="36"/>
        <v>1749675.3105081182</v>
      </c>
      <c r="BY38" s="424">
        <f t="shared" si="36"/>
        <v>1749675.3105081182</v>
      </c>
      <c r="BZ38" s="424">
        <f t="shared" si="36"/>
        <v>1749675.3105081182</v>
      </c>
      <c r="CA38" s="424">
        <f t="shared" si="36"/>
        <v>1749675.3105081182</v>
      </c>
      <c r="CB38" s="424">
        <f t="shared" si="36"/>
        <v>1749675.3105081182</v>
      </c>
      <c r="CC38" s="424">
        <f t="shared" si="36"/>
        <v>1749675.3105081182</v>
      </c>
      <c r="CD38" s="424">
        <f t="shared" si="36"/>
        <v>1749675.3105081182</v>
      </c>
      <c r="CE38" s="424">
        <f t="shared" si="36"/>
        <v>1749675.3105081182</v>
      </c>
      <c r="CF38" s="424">
        <f t="shared" si="36"/>
        <v>1749675.3105081182</v>
      </c>
      <c r="CG38" s="424">
        <f t="shared" si="36"/>
        <v>1749675.3105081182</v>
      </c>
      <c r="CH38" s="424">
        <f t="shared" si="36"/>
        <v>1749675.3105081182</v>
      </c>
      <c r="CI38" s="424">
        <f t="shared" si="36"/>
        <v>1749675.3105081182</v>
      </c>
      <c r="CJ38" s="424">
        <f t="shared" si="36"/>
        <v>1749675.3105081182</v>
      </c>
      <c r="CK38" s="424">
        <f t="shared" si="36"/>
        <v>1749675.3105081182</v>
      </c>
      <c r="CL38" s="422">
        <f t="shared" si="36"/>
        <v>1749675.3105081182</v>
      </c>
      <c r="CM38" s="397">
        <f t="shared" si="27"/>
        <v>1749675.3105081185</v>
      </c>
      <c r="CN38" s="431" t="s">
        <v>217</v>
      </c>
      <c r="CO38" s="432">
        <v>3</v>
      </c>
      <c r="CP38" s="432">
        <v>3</v>
      </c>
      <c r="CQ38" s="432">
        <v>3</v>
      </c>
      <c r="CR38" s="432">
        <v>3</v>
      </c>
      <c r="CS38" s="432">
        <v>3</v>
      </c>
      <c r="CT38" s="432">
        <v>3</v>
      </c>
      <c r="CU38" s="432">
        <v>3</v>
      </c>
      <c r="CV38" s="432">
        <v>3</v>
      </c>
      <c r="CW38" s="432">
        <v>3</v>
      </c>
      <c r="CX38" s="432">
        <v>3</v>
      </c>
      <c r="CY38" s="432">
        <v>3</v>
      </c>
      <c r="CZ38" s="432">
        <v>3</v>
      </c>
      <c r="DA38" s="432">
        <v>3</v>
      </c>
      <c r="DB38" s="432">
        <v>3</v>
      </c>
      <c r="DC38" s="432">
        <v>3</v>
      </c>
      <c r="DD38" s="432">
        <v>3</v>
      </c>
      <c r="DE38" s="432">
        <v>3</v>
      </c>
      <c r="DF38" s="432">
        <v>3</v>
      </c>
      <c r="DG38" s="432">
        <v>3</v>
      </c>
      <c r="DH38" s="432">
        <v>3</v>
      </c>
      <c r="DI38" s="432">
        <v>3</v>
      </c>
      <c r="DJ38" s="432">
        <v>3</v>
      </c>
      <c r="DK38" s="432">
        <v>3</v>
      </c>
      <c r="DL38" s="432">
        <v>3</v>
      </c>
      <c r="DM38" s="432">
        <v>3</v>
      </c>
      <c r="DN38" s="432">
        <v>3</v>
      </c>
      <c r="DO38" s="432">
        <v>3</v>
      </c>
      <c r="DP38" s="432">
        <v>3</v>
      </c>
      <c r="DQ38" s="432">
        <v>3</v>
      </c>
      <c r="DR38" s="432">
        <v>3</v>
      </c>
      <c r="DS38" s="432">
        <v>3</v>
      </c>
      <c r="DT38" s="432">
        <v>3</v>
      </c>
      <c r="DU38" s="432">
        <v>3</v>
      </c>
      <c r="DV38" s="432">
        <v>3</v>
      </c>
      <c r="DW38" s="432">
        <v>3</v>
      </c>
      <c r="DX38" s="432">
        <v>3</v>
      </c>
      <c r="DY38" s="432">
        <v>3</v>
      </c>
      <c r="DZ38" s="432">
        <v>3</v>
      </c>
      <c r="EA38" s="432">
        <v>3</v>
      </c>
      <c r="EB38" s="432">
        <v>3</v>
      </c>
      <c r="EC38" s="432">
        <v>3</v>
      </c>
      <c r="ED38" s="432">
        <v>3</v>
      </c>
      <c r="EE38" s="432">
        <v>3</v>
      </c>
      <c r="EF38" s="432">
        <v>3</v>
      </c>
      <c r="EG38" s="432">
        <v>3</v>
      </c>
      <c r="EH38" s="432">
        <v>3</v>
      </c>
      <c r="EI38" s="432">
        <v>3</v>
      </c>
      <c r="EJ38" s="432">
        <v>3</v>
      </c>
      <c r="EK38" s="432">
        <v>3</v>
      </c>
      <c r="EL38" s="432">
        <v>3</v>
      </c>
      <c r="EM38" s="432">
        <v>3</v>
      </c>
      <c r="EN38" s="432">
        <v>3</v>
      </c>
      <c r="EO38" s="432">
        <v>3</v>
      </c>
      <c r="EP38" s="432">
        <v>3</v>
      </c>
      <c r="EQ38" s="432">
        <v>3</v>
      </c>
      <c r="ER38" s="432">
        <v>3</v>
      </c>
      <c r="ES38" s="432">
        <v>3</v>
      </c>
      <c r="ET38" s="432">
        <v>3</v>
      </c>
      <c r="EU38" s="432">
        <v>3</v>
      </c>
      <c r="EV38" s="432">
        <v>3</v>
      </c>
      <c r="EW38" s="432">
        <v>3</v>
      </c>
      <c r="EX38" s="432">
        <v>3</v>
      </c>
      <c r="EY38" s="432">
        <v>3</v>
      </c>
      <c r="EZ38" s="432">
        <v>3</v>
      </c>
      <c r="FA38" s="432">
        <v>3</v>
      </c>
      <c r="FB38" s="432">
        <v>3</v>
      </c>
      <c r="FC38" s="432">
        <v>3</v>
      </c>
      <c r="FD38" s="432">
        <v>3</v>
      </c>
      <c r="FE38" s="432">
        <v>3</v>
      </c>
      <c r="FF38" s="432">
        <v>3</v>
      </c>
      <c r="FG38" s="432">
        <v>3</v>
      </c>
      <c r="FH38" s="432">
        <v>3</v>
      </c>
      <c r="FI38" s="432">
        <v>3</v>
      </c>
      <c r="FJ38" s="432">
        <v>3</v>
      </c>
      <c r="FK38" s="432">
        <v>3</v>
      </c>
      <c r="FL38" s="432">
        <v>3</v>
      </c>
      <c r="FM38" s="432">
        <v>3</v>
      </c>
      <c r="FN38" s="432">
        <v>3</v>
      </c>
      <c r="FO38" s="432">
        <v>3</v>
      </c>
      <c r="FP38" s="432">
        <v>3</v>
      </c>
      <c r="FQ38" s="432">
        <v>3</v>
      </c>
      <c r="FR38" s="432">
        <v>3</v>
      </c>
      <c r="FS38" s="432">
        <v>3</v>
      </c>
      <c r="FT38" s="432">
        <v>3</v>
      </c>
      <c r="FU38" s="432">
        <v>3</v>
      </c>
      <c r="FV38" s="271">
        <f t="shared" si="28"/>
        <v>3</v>
      </c>
      <c r="FW38" s="312"/>
    </row>
    <row r="39" spans="1:179">
      <c r="A39" s="1066"/>
      <c r="B39" s="398" t="s">
        <v>305</v>
      </c>
      <c r="C39" s="399" t="s">
        <v>320</v>
      </c>
      <c r="D39" s="399">
        <v>16.829999999999998</v>
      </c>
      <c r="E39" s="1058"/>
      <c r="F39" s="422" t="s">
        <v>321</v>
      </c>
      <c r="G39" s="423">
        <f>$D$39*G16</f>
        <v>1890053.6248941992</v>
      </c>
      <c r="H39" s="423">
        <f t="shared" ref="H39:BS39" si="37">$D$39*H16</f>
        <v>1890053.6248941992</v>
      </c>
      <c r="I39" s="423">
        <f t="shared" si="37"/>
        <v>1890053.6248941992</v>
      </c>
      <c r="J39" s="423">
        <f t="shared" si="37"/>
        <v>1890053.6248941992</v>
      </c>
      <c r="K39" s="423">
        <f t="shared" si="37"/>
        <v>1890053.6248941992</v>
      </c>
      <c r="L39" s="423">
        <f t="shared" si="37"/>
        <v>1890053.6248941992</v>
      </c>
      <c r="M39" s="423">
        <f t="shared" si="37"/>
        <v>1890053.6248941992</v>
      </c>
      <c r="N39" s="423">
        <f t="shared" si="37"/>
        <v>1890053.6248941992</v>
      </c>
      <c r="O39" s="423">
        <f t="shared" si="37"/>
        <v>1890053.6248941992</v>
      </c>
      <c r="P39" s="423">
        <f t="shared" si="37"/>
        <v>1890053.6248941992</v>
      </c>
      <c r="Q39" s="423">
        <f t="shared" si="37"/>
        <v>1890053.6248941992</v>
      </c>
      <c r="R39" s="423">
        <f t="shared" si="37"/>
        <v>1890053.6248941992</v>
      </c>
      <c r="S39" s="423">
        <f t="shared" si="37"/>
        <v>1890053.6248941992</v>
      </c>
      <c r="T39" s="423">
        <f t="shared" si="37"/>
        <v>1890053.6248941992</v>
      </c>
      <c r="U39" s="423">
        <f t="shared" si="37"/>
        <v>1890053.6248941992</v>
      </c>
      <c r="V39" s="423">
        <f t="shared" si="37"/>
        <v>1890053.6248941992</v>
      </c>
      <c r="W39" s="423">
        <f t="shared" si="37"/>
        <v>1890053.6248941992</v>
      </c>
      <c r="X39" s="423">
        <f t="shared" si="37"/>
        <v>1890053.6248941992</v>
      </c>
      <c r="Y39" s="423">
        <f t="shared" si="37"/>
        <v>1890053.6248941992</v>
      </c>
      <c r="Z39" s="423">
        <f t="shared" si="37"/>
        <v>1890053.6248941992</v>
      </c>
      <c r="AA39" s="423">
        <f t="shared" si="37"/>
        <v>1890053.6248941992</v>
      </c>
      <c r="AB39" s="423">
        <f t="shared" si="37"/>
        <v>1890053.6248941992</v>
      </c>
      <c r="AC39" s="423">
        <f t="shared" si="37"/>
        <v>1890053.6248941992</v>
      </c>
      <c r="AD39" s="423">
        <f t="shared" si="37"/>
        <v>1890053.6248941992</v>
      </c>
      <c r="AE39" s="423">
        <f t="shared" si="37"/>
        <v>1890053.6248941992</v>
      </c>
      <c r="AF39" s="423">
        <f t="shared" si="37"/>
        <v>1890053.6248941992</v>
      </c>
      <c r="AG39" s="423">
        <f t="shared" si="37"/>
        <v>1890053.6248941992</v>
      </c>
      <c r="AH39" s="423">
        <f t="shared" si="37"/>
        <v>1890053.6248941992</v>
      </c>
      <c r="AI39" s="423">
        <f t="shared" si="37"/>
        <v>1890053.6248941992</v>
      </c>
      <c r="AJ39" s="423">
        <f t="shared" si="37"/>
        <v>1890053.6248941992</v>
      </c>
      <c r="AK39" s="423">
        <f t="shared" si="37"/>
        <v>1890053.6248941992</v>
      </c>
      <c r="AL39" s="423">
        <f t="shared" si="37"/>
        <v>1890053.6248941992</v>
      </c>
      <c r="AM39" s="423">
        <f t="shared" si="37"/>
        <v>1890053.6248941992</v>
      </c>
      <c r="AN39" s="423">
        <f t="shared" si="37"/>
        <v>1890053.6248941992</v>
      </c>
      <c r="AO39" s="423">
        <f t="shared" si="37"/>
        <v>1890053.6248941992</v>
      </c>
      <c r="AP39" s="423">
        <f t="shared" si="37"/>
        <v>1890053.6248941992</v>
      </c>
      <c r="AQ39" s="423">
        <f t="shared" si="37"/>
        <v>1890053.6248941992</v>
      </c>
      <c r="AR39" s="423">
        <f t="shared" si="37"/>
        <v>1890053.6248941992</v>
      </c>
      <c r="AS39" s="423">
        <f t="shared" si="37"/>
        <v>1890053.6248941992</v>
      </c>
      <c r="AT39" s="423">
        <f t="shared" si="37"/>
        <v>1890053.6248941992</v>
      </c>
      <c r="AU39" s="423">
        <f t="shared" si="37"/>
        <v>1890053.6248941992</v>
      </c>
      <c r="AV39" s="423">
        <f t="shared" si="37"/>
        <v>1890053.6248941992</v>
      </c>
      <c r="AW39" s="423">
        <f t="shared" si="37"/>
        <v>1890053.6248941992</v>
      </c>
      <c r="AX39" s="423">
        <f t="shared" si="37"/>
        <v>1890053.6248941992</v>
      </c>
      <c r="AY39" s="423">
        <f t="shared" si="37"/>
        <v>1890053.6248941992</v>
      </c>
      <c r="AZ39" s="423">
        <f t="shared" si="37"/>
        <v>1890053.6248941992</v>
      </c>
      <c r="BA39" s="423">
        <f t="shared" si="37"/>
        <v>1890053.6248941992</v>
      </c>
      <c r="BB39" s="423">
        <f t="shared" si="37"/>
        <v>1890053.6248941992</v>
      </c>
      <c r="BC39" s="423">
        <f t="shared" si="37"/>
        <v>1890053.6248941992</v>
      </c>
      <c r="BD39" s="423">
        <f t="shared" si="37"/>
        <v>1890053.6248941992</v>
      </c>
      <c r="BE39" s="423">
        <f t="shared" si="37"/>
        <v>1890053.6248941992</v>
      </c>
      <c r="BF39" s="423">
        <f t="shared" si="37"/>
        <v>1890053.6248941992</v>
      </c>
      <c r="BG39" s="423">
        <f t="shared" si="37"/>
        <v>1890053.6248941992</v>
      </c>
      <c r="BH39" s="423">
        <f t="shared" si="37"/>
        <v>1890053.6248941992</v>
      </c>
      <c r="BI39" s="423">
        <f t="shared" si="37"/>
        <v>1890053.6248941992</v>
      </c>
      <c r="BJ39" s="423">
        <f t="shared" si="37"/>
        <v>1890053.6248941992</v>
      </c>
      <c r="BK39" s="423">
        <f t="shared" si="37"/>
        <v>1890053.6248941992</v>
      </c>
      <c r="BL39" s="423">
        <f t="shared" si="37"/>
        <v>1890053.6248941992</v>
      </c>
      <c r="BM39" s="423">
        <f t="shared" si="37"/>
        <v>1890053.6248941992</v>
      </c>
      <c r="BN39" s="423">
        <f t="shared" si="37"/>
        <v>1890053.6248941992</v>
      </c>
      <c r="BO39" s="423">
        <f t="shared" si="37"/>
        <v>1890053.6248941992</v>
      </c>
      <c r="BP39" s="423">
        <f t="shared" si="37"/>
        <v>1890053.6248941992</v>
      </c>
      <c r="BQ39" s="423">
        <f t="shared" si="37"/>
        <v>1890053.6248941992</v>
      </c>
      <c r="BR39" s="423">
        <f t="shared" si="37"/>
        <v>1890053.6248941992</v>
      </c>
      <c r="BS39" s="423">
        <f t="shared" si="37"/>
        <v>1890053.6248941992</v>
      </c>
      <c r="BT39" s="423">
        <f t="shared" ref="BT39:CL39" si="38">$D$39*BT16</f>
        <v>1890053.6248941992</v>
      </c>
      <c r="BU39" s="423">
        <f t="shared" si="38"/>
        <v>1890053.6248941992</v>
      </c>
      <c r="BV39" s="423">
        <f t="shared" si="38"/>
        <v>1890053.6248941992</v>
      </c>
      <c r="BW39" s="423">
        <f t="shared" si="38"/>
        <v>1890053.6248941992</v>
      </c>
      <c r="BX39" s="423">
        <f t="shared" si="38"/>
        <v>1890053.6248941992</v>
      </c>
      <c r="BY39" s="423">
        <f t="shared" si="38"/>
        <v>1890053.6248941992</v>
      </c>
      <c r="BZ39" s="423">
        <f t="shared" si="38"/>
        <v>1890053.6248941992</v>
      </c>
      <c r="CA39" s="423">
        <f t="shared" si="38"/>
        <v>1890053.6248941992</v>
      </c>
      <c r="CB39" s="423">
        <f t="shared" si="38"/>
        <v>1890053.6248941992</v>
      </c>
      <c r="CC39" s="423">
        <f t="shared" si="38"/>
        <v>1890053.6248941992</v>
      </c>
      <c r="CD39" s="423">
        <f t="shared" si="38"/>
        <v>1890053.6248941992</v>
      </c>
      <c r="CE39" s="423">
        <f t="shared" si="38"/>
        <v>1890053.6248941992</v>
      </c>
      <c r="CF39" s="423">
        <f t="shared" si="38"/>
        <v>1890053.6248941992</v>
      </c>
      <c r="CG39" s="423">
        <f t="shared" si="38"/>
        <v>1890053.6248941992</v>
      </c>
      <c r="CH39" s="423">
        <f t="shared" si="38"/>
        <v>1890053.6248941992</v>
      </c>
      <c r="CI39" s="423">
        <f t="shared" si="38"/>
        <v>1890053.6248941992</v>
      </c>
      <c r="CJ39" s="423">
        <f t="shared" si="38"/>
        <v>1890053.6248941992</v>
      </c>
      <c r="CK39" s="423">
        <f t="shared" si="38"/>
        <v>1890053.6248941992</v>
      </c>
      <c r="CL39" s="423">
        <f t="shared" si="38"/>
        <v>1890053.6248941992</v>
      </c>
      <c r="CM39" s="423">
        <f t="shared" si="27"/>
        <v>1890053.6248942011</v>
      </c>
      <c r="CN39" s="431" t="s">
        <v>218</v>
      </c>
      <c r="CO39" s="432">
        <v>2.4500000000000002</v>
      </c>
      <c r="CP39" s="432">
        <v>2.4500000000000002</v>
      </c>
      <c r="CQ39" s="432">
        <v>2.4500000000000002</v>
      </c>
      <c r="CR39" s="432">
        <v>2.4500000000000002</v>
      </c>
      <c r="CS39" s="432">
        <v>2.4500000000000002</v>
      </c>
      <c r="CT39" s="432">
        <v>2.4500000000000002</v>
      </c>
      <c r="CU39" s="432">
        <v>2.4500000000000002</v>
      </c>
      <c r="CV39" s="432">
        <v>2.4500000000000002</v>
      </c>
      <c r="CW39" s="432">
        <v>2.4500000000000002</v>
      </c>
      <c r="CX39" s="432">
        <v>2.4500000000000002</v>
      </c>
      <c r="CY39" s="432">
        <v>2.4500000000000002</v>
      </c>
      <c r="CZ39" s="432">
        <v>2.4500000000000002</v>
      </c>
      <c r="DA39" s="432">
        <v>2.4500000000000002</v>
      </c>
      <c r="DB39" s="432">
        <v>2.4500000000000002</v>
      </c>
      <c r="DC39" s="432">
        <v>2.4500000000000002</v>
      </c>
      <c r="DD39" s="432">
        <v>2.4500000000000002</v>
      </c>
      <c r="DE39" s="432">
        <v>2.4500000000000002</v>
      </c>
      <c r="DF39" s="432">
        <v>2.4500000000000002</v>
      </c>
      <c r="DG39" s="432">
        <v>2.4500000000000002</v>
      </c>
      <c r="DH39" s="432">
        <v>2.4500000000000002</v>
      </c>
      <c r="DI39" s="432">
        <v>2.4500000000000002</v>
      </c>
      <c r="DJ39" s="432">
        <v>2.4500000000000002</v>
      </c>
      <c r="DK39" s="432">
        <v>2.4500000000000002</v>
      </c>
      <c r="DL39" s="432">
        <v>2.4500000000000002</v>
      </c>
      <c r="DM39" s="432">
        <v>2.4500000000000002</v>
      </c>
      <c r="DN39" s="432">
        <v>2.4500000000000002</v>
      </c>
      <c r="DO39" s="432">
        <v>2.4500000000000002</v>
      </c>
      <c r="DP39" s="432">
        <v>2.4500000000000002</v>
      </c>
      <c r="DQ39" s="432">
        <v>2.4500000000000002</v>
      </c>
      <c r="DR39" s="432">
        <v>2.4500000000000002</v>
      </c>
      <c r="DS39" s="432">
        <v>2.4500000000000002</v>
      </c>
      <c r="DT39" s="432">
        <v>2.4500000000000002</v>
      </c>
      <c r="DU39" s="432">
        <v>2.4500000000000002</v>
      </c>
      <c r="DV39" s="432">
        <v>2.4500000000000002</v>
      </c>
      <c r="DW39" s="432">
        <v>2.4500000000000002</v>
      </c>
      <c r="DX39" s="432">
        <v>2.4500000000000002</v>
      </c>
      <c r="DY39" s="432">
        <v>2.4500000000000002</v>
      </c>
      <c r="DZ39" s="432">
        <v>2.4500000000000002</v>
      </c>
      <c r="EA39" s="432">
        <v>2.4500000000000002</v>
      </c>
      <c r="EB39" s="432">
        <v>2.4500000000000002</v>
      </c>
      <c r="EC39" s="432">
        <v>2.4500000000000002</v>
      </c>
      <c r="ED39" s="432">
        <v>2.4500000000000002</v>
      </c>
      <c r="EE39" s="432">
        <v>2.4500000000000002</v>
      </c>
      <c r="EF39" s="432">
        <v>2.4500000000000002</v>
      </c>
      <c r="EG39" s="432">
        <v>2.4500000000000002</v>
      </c>
      <c r="EH39" s="432">
        <v>2.4500000000000002</v>
      </c>
      <c r="EI39" s="432">
        <v>2.4500000000000002</v>
      </c>
      <c r="EJ39" s="432">
        <v>2.4500000000000002</v>
      </c>
      <c r="EK39" s="432">
        <v>2.4500000000000002</v>
      </c>
      <c r="EL39" s="432">
        <v>2.4500000000000002</v>
      </c>
      <c r="EM39" s="432">
        <v>2.4500000000000002</v>
      </c>
      <c r="EN39" s="432">
        <v>2.4500000000000002</v>
      </c>
      <c r="EO39" s="432">
        <v>2.4500000000000002</v>
      </c>
      <c r="EP39" s="432">
        <v>2.4500000000000002</v>
      </c>
      <c r="EQ39" s="432">
        <v>2.4500000000000002</v>
      </c>
      <c r="ER39" s="432">
        <v>2.4500000000000002</v>
      </c>
      <c r="ES39" s="432">
        <v>2.4500000000000002</v>
      </c>
      <c r="ET39" s="432">
        <v>2.4500000000000002</v>
      </c>
      <c r="EU39" s="432">
        <v>2.4500000000000002</v>
      </c>
      <c r="EV39" s="432">
        <v>2.4500000000000002</v>
      </c>
      <c r="EW39" s="432">
        <v>2.4500000000000002</v>
      </c>
      <c r="EX39" s="432">
        <v>2.4500000000000002</v>
      </c>
      <c r="EY39" s="432">
        <v>2.4500000000000002</v>
      </c>
      <c r="EZ39" s="432">
        <v>2.4500000000000002</v>
      </c>
      <c r="FA39" s="432">
        <v>2.4500000000000002</v>
      </c>
      <c r="FB39" s="432">
        <v>2.4500000000000002</v>
      </c>
      <c r="FC39" s="432">
        <v>2.4500000000000002</v>
      </c>
      <c r="FD39" s="432">
        <v>2.4500000000000002</v>
      </c>
      <c r="FE39" s="432">
        <v>2.4500000000000002</v>
      </c>
      <c r="FF39" s="432">
        <v>2.4500000000000002</v>
      </c>
      <c r="FG39" s="432">
        <v>2.4500000000000002</v>
      </c>
      <c r="FH39" s="432">
        <v>2.4500000000000002</v>
      </c>
      <c r="FI39" s="432">
        <v>2.4500000000000002</v>
      </c>
      <c r="FJ39" s="432">
        <v>2.4500000000000002</v>
      </c>
      <c r="FK39" s="432">
        <v>2.4500000000000002</v>
      </c>
      <c r="FL39" s="432">
        <v>2.4500000000000002</v>
      </c>
      <c r="FM39" s="432">
        <v>2.4500000000000002</v>
      </c>
      <c r="FN39" s="432">
        <v>2.4500000000000002</v>
      </c>
      <c r="FO39" s="432">
        <v>2.4500000000000002</v>
      </c>
      <c r="FP39" s="432">
        <v>2.4500000000000002</v>
      </c>
      <c r="FQ39" s="432">
        <v>2.4500000000000002</v>
      </c>
      <c r="FR39" s="432">
        <v>2.4500000000000002</v>
      </c>
      <c r="FS39" s="432">
        <v>2.4500000000000002</v>
      </c>
      <c r="FT39" s="432">
        <v>2.4500000000000002</v>
      </c>
      <c r="FU39" s="432">
        <v>2.4500000000000002</v>
      </c>
      <c r="FV39" s="271">
        <f t="shared" si="28"/>
        <v>2.450000000000002</v>
      </c>
      <c r="FW39" s="312"/>
    </row>
    <row r="40" spans="1:179">
      <c r="A40" s="1066"/>
      <c r="B40" s="398" t="s">
        <v>305</v>
      </c>
      <c r="C40" s="399" t="s">
        <v>147</v>
      </c>
      <c r="D40" s="399">
        <v>2.8000000000000001E-2</v>
      </c>
      <c r="E40" s="1058"/>
      <c r="F40" s="433" t="s">
        <v>322</v>
      </c>
      <c r="G40" s="423">
        <f t="shared" ref="G40:BR40" si="39">$D$40*G16</f>
        <v>3144.4742422482227</v>
      </c>
      <c r="H40" s="423">
        <f t="shared" si="39"/>
        <v>3144.4742422482227</v>
      </c>
      <c r="I40" s="423">
        <f t="shared" si="39"/>
        <v>3144.4742422482227</v>
      </c>
      <c r="J40" s="423">
        <f t="shared" si="39"/>
        <v>3144.4742422482227</v>
      </c>
      <c r="K40" s="423">
        <f t="shared" si="39"/>
        <v>3144.4742422482227</v>
      </c>
      <c r="L40" s="423">
        <f t="shared" si="39"/>
        <v>3144.4742422482227</v>
      </c>
      <c r="M40" s="423">
        <f t="shared" si="39"/>
        <v>3144.4742422482227</v>
      </c>
      <c r="N40" s="423">
        <f t="shared" si="39"/>
        <v>3144.4742422482227</v>
      </c>
      <c r="O40" s="423">
        <f t="shared" si="39"/>
        <v>3144.4742422482227</v>
      </c>
      <c r="P40" s="423">
        <f t="shared" si="39"/>
        <v>3144.4742422482227</v>
      </c>
      <c r="Q40" s="423">
        <f t="shared" si="39"/>
        <v>3144.4742422482227</v>
      </c>
      <c r="R40" s="423">
        <f t="shared" si="39"/>
        <v>3144.4742422482227</v>
      </c>
      <c r="S40" s="423">
        <f t="shared" si="39"/>
        <v>3144.4742422482227</v>
      </c>
      <c r="T40" s="423">
        <f t="shared" si="39"/>
        <v>3144.4742422482227</v>
      </c>
      <c r="U40" s="423">
        <f t="shared" si="39"/>
        <v>3144.4742422482227</v>
      </c>
      <c r="V40" s="423">
        <f t="shared" si="39"/>
        <v>3144.4742422482227</v>
      </c>
      <c r="W40" s="423">
        <f t="shared" si="39"/>
        <v>3144.4742422482227</v>
      </c>
      <c r="X40" s="423">
        <f t="shared" si="39"/>
        <v>3144.4742422482227</v>
      </c>
      <c r="Y40" s="423">
        <f t="shared" si="39"/>
        <v>3144.4742422482227</v>
      </c>
      <c r="Z40" s="423">
        <f t="shared" si="39"/>
        <v>3144.4742422482227</v>
      </c>
      <c r="AA40" s="423">
        <f t="shared" si="39"/>
        <v>3144.4742422482227</v>
      </c>
      <c r="AB40" s="423">
        <f t="shared" si="39"/>
        <v>3144.4742422482227</v>
      </c>
      <c r="AC40" s="423">
        <f t="shared" si="39"/>
        <v>3144.4742422482227</v>
      </c>
      <c r="AD40" s="423">
        <f t="shared" si="39"/>
        <v>3144.4742422482227</v>
      </c>
      <c r="AE40" s="423">
        <f t="shared" si="39"/>
        <v>3144.4742422482227</v>
      </c>
      <c r="AF40" s="423">
        <f t="shared" si="39"/>
        <v>3144.4742422482227</v>
      </c>
      <c r="AG40" s="423">
        <f t="shared" si="39"/>
        <v>3144.4742422482227</v>
      </c>
      <c r="AH40" s="423">
        <f t="shared" si="39"/>
        <v>3144.4742422482227</v>
      </c>
      <c r="AI40" s="423">
        <f t="shared" si="39"/>
        <v>3144.4742422482227</v>
      </c>
      <c r="AJ40" s="423">
        <f t="shared" si="39"/>
        <v>3144.4742422482227</v>
      </c>
      <c r="AK40" s="423">
        <f t="shared" si="39"/>
        <v>3144.4742422482227</v>
      </c>
      <c r="AL40" s="423">
        <f t="shared" si="39"/>
        <v>3144.4742422482227</v>
      </c>
      <c r="AM40" s="423">
        <f t="shared" si="39"/>
        <v>3144.4742422482227</v>
      </c>
      <c r="AN40" s="423">
        <f t="shared" si="39"/>
        <v>3144.4742422482227</v>
      </c>
      <c r="AO40" s="423">
        <f t="shared" si="39"/>
        <v>3144.4742422482227</v>
      </c>
      <c r="AP40" s="423">
        <f t="shared" si="39"/>
        <v>3144.4742422482227</v>
      </c>
      <c r="AQ40" s="423">
        <f t="shared" si="39"/>
        <v>3144.4742422482227</v>
      </c>
      <c r="AR40" s="423">
        <f t="shared" si="39"/>
        <v>3144.4742422482227</v>
      </c>
      <c r="AS40" s="423">
        <f t="shared" si="39"/>
        <v>3144.4742422482227</v>
      </c>
      <c r="AT40" s="423">
        <f t="shared" si="39"/>
        <v>3144.4742422482227</v>
      </c>
      <c r="AU40" s="424">
        <f t="shared" si="39"/>
        <v>3144.4742422482227</v>
      </c>
      <c r="AV40" s="424">
        <f t="shared" si="39"/>
        <v>3144.4742422482227</v>
      </c>
      <c r="AW40" s="424">
        <f t="shared" si="39"/>
        <v>3144.4742422482227</v>
      </c>
      <c r="AX40" s="424">
        <f t="shared" si="39"/>
        <v>3144.4742422482227</v>
      </c>
      <c r="AY40" s="424">
        <f t="shared" si="39"/>
        <v>3144.4742422482227</v>
      </c>
      <c r="AZ40" s="424">
        <f t="shared" si="39"/>
        <v>3144.4742422482227</v>
      </c>
      <c r="BA40" s="424">
        <f t="shared" si="39"/>
        <v>3144.4742422482227</v>
      </c>
      <c r="BB40" s="424">
        <f t="shared" si="39"/>
        <v>3144.4742422482227</v>
      </c>
      <c r="BC40" s="424">
        <f t="shared" si="39"/>
        <v>3144.4742422482227</v>
      </c>
      <c r="BD40" s="424">
        <f t="shared" si="39"/>
        <v>3144.4742422482227</v>
      </c>
      <c r="BE40" s="424">
        <f t="shared" si="39"/>
        <v>3144.4742422482227</v>
      </c>
      <c r="BF40" s="424">
        <f t="shared" si="39"/>
        <v>3144.4742422482227</v>
      </c>
      <c r="BG40" s="424">
        <f t="shared" si="39"/>
        <v>3144.4742422482227</v>
      </c>
      <c r="BH40" s="424">
        <f t="shared" si="39"/>
        <v>3144.4742422482227</v>
      </c>
      <c r="BI40" s="424">
        <f t="shared" si="39"/>
        <v>3144.4742422482227</v>
      </c>
      <c r="BJ40" s="424">
        <f t="shared" si="39"/>
        <v>3144.4742422482227</v>
      </c>
      <c r="BK40" s="424">
        <f t="shared" si="39"/>
        <v>3144.4742422482227</v>
      </c>
      <c r="BL40" s="424">
        <f t="shared" si="39"/>
        <v>3144.4742422482227</v>
      </c>
      <c r="BM40" s="424">
        <f t="shared" si="39"/>
        <v>3144.4742422482227</v>
      </c>
      <c r="BN40" s="424">
        <f t="shared" si="39"/>
        <v>3144.4742422482227</v>
      </c>
      <c r="BO40" s="424">
        <f t="shared" si="39"/>
        <v>3144.4742422482227</v>
      </c>
      <c r="BP40" s="424">
        <f t="shared" si="39"/>
        <v>3144.4742422482227</v>
      </c>
      <c r="BQ40" s="424">
        <f t="shared" si="39"/>
        <v>3144.4742422482227</v>
      </c>
      <c r="BR40" s="424">
        <f t="shared" si="39"/>
        <v>3144.4742422482227</v>
      </c>
      <c r="BS40" s="424">
        <f t="shared" ref="BS40:CL40" si="40">$D$40*BS16</f>
        <v>3144.4742422482227</v>
      </c>
      <c r="BT40" s="424">
        <f t="shared" si="40"/>
        <v>3144.4742422482227</v>
      </c>
      <c r="BU40" s="424">
        <f t="shared" si="40"/>
        <v>3144.4742422482227</v>
      </c>
      <c r="BV40" s="424">
        <f t="shared" si="40"/>
        <v>3144.4742422482227</v>
      </c>
      <c r="BW40" s="424">
        <f t="shared" si="40"/>
        <v>3144.4742422482227</v>
      </c>
      <c r="BX40" s="424">
        <f t="shared" si="40"/>
        <v>3144.4742422482227</v>
      </c>
      <c r="BY40" s="424">
        <f t="shared" si="40"/>
        <v>3144.4742422482227</v>
      </c>
      <c r="BZ40" s="424">
        <f t="shared" si="40"/>
        <v>3144.4742422482227</v>
      </c>
      <c r="CA40" s="424">
        <f t="shared" si="40"/>
        <v>3144.4742422482227</v>
      </c>
      <c r="CB40" s="424">
        <f t="shared" si="40"/>
        <v>3144.4742422482227</v>
      </c>
      <c r="CC40" s="424">
        <f t="shared" si="40"/>
        <v>3144.4742422482227</v>
      </c>
      <c r="CD40" s="424">
        <f t="shared" si="40"/>
        <v>3144.4742422482227</v>
      </c>
      <c r="CE40" s="424">
        <f t="shared" si="40"/>
        <v>3144.4742422482227</v>
      </c>
      <c r="CF40" s="424">
        <f t="shared" si="40"/>
        <v>3144.4742422482227</v>
      </c>
      <c r="CG40" s="424">
        <f t="shared" si="40"/>
        <v>3144.4742422482227</v>
      </c>
      <c r="CH40" s="424">
        <f t="shared" si="40"/>
        <v>3144.4742422482227</v>
      </c>
      <c r="CI40" s="424">
        <f t="shared" si="40"/>
        <v>3144.4742422482227</v>
      </c>
      <c r="CJ40" s="424">
        <f t="shared" si="40"/>
        <v>3144.4742422482227</v>
      </c>
      <c r="CK40" s="424">
        <f t="shared" si="40"/>
        <v>3144.4742422482227</v>
      </c>
      <c r="CL40" s="422">
        <f t="shared" si="40"/>
        <v>3144.4742422482227</v>
      </c>
      <c r="CM40" s="397">
        <f t="shared" si="27"/>
        <v>3144.4742422482223</v>
      </c>
      <c r="CN40" s="431" t="s">
        <v>219</v>
      </c>
      <c r="CO40" s="432">
        <v>752</v>
      </c>
      <c r="CP40" s="432">
        <v>752</v>
      </c>
      <c r="CQ40" s="432">
        <v>752</v>
      </c>
      <c r="CR40" s="432">
        <v>752</v>
      </c>
      <c r="CS40" s="432">
        <v>752</v>
      </c>
      <c r="CT40" s="432">
        <v>752</v>
      </c>
      <c r="CU40" s="432">
        <v>752</v>
      </c>
      <c r="CV40" s="432">
        <v>752</v>
      </c>
      <c r="CW40" s="432">
        <v>752</v>
      </c>
      <c r="CX40" s="432">
        <v>752</v>
      </c>
      <c r="CY40" s="432">
        <v>752</v>
      </c>
      <c r="CZ40" s="432">
        <v>752</v>
      </c>
      <c r="DA40" s="432">
        <v>752</v>
      </c>
      <c r="DB40" s="432">
        <v>752</v>
      </c>
      <c r="DC40" s="432">
        <v>752</v>
      </c>
      <c r="DD40" s="432">
        <v>752</v>
      </c>
      <c r="DE40" s="432">
        <v>752</v>
      </c>
      <c r="DF40" s="432">
        <v>752</v>
      </c>
      <c r="DG40" s="432">
        <v>752</v>
      </c>
      <c r="DH40" s="432">
        <v>752</v>
      </c>
      <c r="DI40" s="432">
        <v>752</v>
      </c>
      <c r="DJ40" s="432">
        <v>752</v>
      </c>
      <c r="DK40" s="432">
        <v>752</v>
      </c>
      <c r="DL40" s="432">
        <v>752</v>
      </c>
      <c r="DM40" s="432">
        <v>752</v>
      </c>
      <c r="DN40" s="432">
        <v>752</v>
      </c>
      <c r="DO40" s="432">
        <v>752</v>
      </c>
      <c r="DP40" s="432">
        <v>752</v>
      </c>
      <c r="DQ40" s="432">
        <v>752</v>
      </c>
      <c r="DR40" s="432">
        <v>752</v>
      </c>
      <c r="DS40" s="432">
        <v>752</v>
      </c>
      <c r="DT40" s="432">
        <v>752</v>
      </c>
      <c r="DU40" s="432">
        <v>752</v>
      </c>
      <c r="DV40" s="432">
        <v>752</v>
      </c>
      <c r="DW40" s="432">
        <v>752</v>
      </c>
      <c r="DX40" s="432">
        <v>752</v>
      </c>
      <c r="DY40" s="432">
        <v>752</v>
      </c>
      <c r="DZ40" s="432">
        <v>752</v>
      </c>
      <c r="EA40" s="432">
        <v>752</v>
      </c>
      <c r="EB40" s="432">
        <v>752</v>
      </c>
      <c r="EC40" s="432">
        <v>752</v>
      </c>
      <c r="ED40" s="432">
        <v>752</v>
      </c>
      <c r="EE40" s="432">
        <v>752</v>
      </c>
      <c r="EF40" s="432">
        <v>752</v>
      </c>
      <c r="EG40" s="432">
        <v>752</v>
      </c>
      <c r="EH40" s="432">
        <v>752</v>
      </c>
      <c r="EI40" s="432">
        <v>752</v>
      </c>
      <c r="EJ40" s="432">
        <v>752</v>
      </c>
      <c r="EK40" s="432">
        <v>752</v>
      </c>
      <c r="EL40" s="432">
        <v>752</v>
      </c>
      <c r="EM40" s="432">
        <v>752</v>
      </c>
      <c r="EN40" s="432">
        <v>752</v>
      </c>
      <c r="EO40" s="432">
        <v>752</v>
      </c>
      <c r="EP40" s="432">
        <v>752</v>
      </c>
      <c r="EQ40" s="432">
        <v>752</v>
      </c>
      <c r="ER40" s="432">
        <v>752</v>
      </c>
      <c r="ES40" s="432">
        <v>752</v>
      </c>
      <c r="ET40" s="432">
        <v>752</v>
      </c>
      <c r="EU40" s="432">
        <v>752</v>
      </c>
      <c r="EV40" s="432">
        <v>752</v>
      </c>
      <c r="EW40" s="432">
        <v>752</v>
      </c>
      <c r="EX40" s="432">
        <v>752</v>
      </c>
      <c r="EY40" s="432">
        <v>752</v>
      </c>
      <c r="EZ40" s="432">
        <v>752</v>
      </c>
      <c r="FA40" s="432">
        <v>752</v>
      </c>
      <c r="FB40" s="432">
        <v>752</v>
      </c>
      <c r="FC40" s="432">
        <v>752</v>
      </c>
      <c r="FD40" s="432">
        <v>752</v>
      </c>
      <c r="FE40" s="432">
        <v>752</v>
      </c>
      <c r="FF40" s="432">
        <v>752</v>
      </c>
      <c r="FG40" s="432">
        <v>752</v>
      </c>
      <c r="FH40" s="432">
        <v>752</v>
      </c>
      <c r="FI40" s="432">
        <v>752</v>
      </c>
      <c r="FJ40" s="432">
        <v>752</v>
      </c>
      <c r="FK40" s="432">
        <v>752</v>
      </c>
      <c r="FL40" s="432">
        <v>752</v>
      </c>
      <c r="FM40" s="432">
        <v>752</v>
      </c>
      <c r="FN40" s="432">
        <v>752</v>
      </c>
      <c r="FO40" s="432">
        <v>752</v>
      </c>
      <c r="FP40" s="432">
        <v>752</v>
      </c>
      <c r="FQ40" s="432">
        <v>752</v>
      </c>
      <c r="FR40" s="432">
        <v>752</v>
      </c>
      <c r="FS40" s="432">
        <v>752</v>
      </c>
      <c r="FT40" s="432">
        <v>752</v>
      </c>
      <c r="FU40" s="432">
        <v>752</v>
      </c>
      <c r="FV40" s="271">
        <f t="shared" si="28"/>
        <v>752</v>
      </c>
      <c r="FW40" s="312"/>
    </row>
    <row r="41" spans="1:179">
      <c r="A41" s="434"/>
      <c r="B41" s="435" t="s">
        <v>305</v>
      </c>
      <c r="C41" s="436" t="s">
        <v>323</v>
      </c>
      <c r="D41" s="436"/>
      <c r="E41" s="437"/>
      <c r="F41" s="438" t="s">
        <v>324</v>
      </c>
      <c r="G41" s="439">
        <f t="shared" ref="G41:N41" si="41">G34*CP35+G36*CP36+G37*CP34+G38*CP37+G35*CP38+CP39*G39+G40*CP40</f>
        <v>585611689.03351569</v>
      </c>
      <c r="H41" s="439">
        <f t="shared" si="41"/>
        <v>585611689.03351569</v>
      </c>
      <c r="I41" s="439">
        <f t="shared" si="41"/>
        <v>585611689.03351569</v>
      </c>
      <c r="J41" s="439">
        <f t="shared" si="41"/>
        <v>585613575.71806097</v>
      </c>
      <c r="K41" s="439">
        <f t="shared" si="41"/>
        <v>586050994.54568803</v>
      </c>
      <c r="L41" s="439">
        <f t="shared" si="41"/>
        <v>586051623.4405365</v>
      </c>
      <c r="M41" s="439">
        <f t="shared" si="41"/>
        <v>586051623.4405365</v>
      </c>
      <c r="N41" s="439">
        <f t="shared" si="41"/>
        <v>587280193.9073875</v>
      </c>
      <c r="O41" s="439">
        <f t="shared" ref="O41:AT41" si="42">O34*CX35+O36*CX36+O37*CX34+O38*CX37+O35*CX38+CX39*O39+O40*CX40</f>
        <v>586052252.33538496</v>
      </c>
      <c r="P41" s="439">
        <f t="shared" si="42"/>
        <v>587282552.26306915</v>
      </c>
      <c r="Q41" s="439">
        <f t="shared" si="42"/>
        <v>588510493.83507359</v>
      </c>
      <c r="R41" s="439">
        <f t="shared" si="42"/>
        <v>589738435.40707803</v>
      </c>
      <c r="S41" s="439">
        <f t="shared" si="42"/>
        <v>590967005.87392902</v>
      </c>
      <c r="T41" s="439">
        <f t="shared" si="42"/>
        <v>592197065.64722669</v>
      </c>
      <c r="U41" s="439">
        <f t="shared" si="42"/>
        <v>593425235.4110558</v>
      </c>
      <c r="V41" s="439">
        <f t="shared" si="42"/>
        <v>594754007.01889038</v>
      </c>
      <c r="W41" s="439">
        <f t="shared" si="42"/>
        <v>595945496.41005588</v>
      </c>
      <c r="X41" s="439">
        <f t="shared" si="42"/>
        <v>597136985.80121982</v>
      </c>
      <c r="Y41" s="439">
        <f t="shared" si="42"/>
        <v>598328475.19238555</v>
      </c>
      <c r="Z41" s="439">
        <f t="shared" si="42"/>
        <v>599519964.58355129</v>
      </c>
      <c r="AA41" s="439">
        <f t="shared" si="42"/>
        <v>600711453.97471511</v>
      </c>
      <c r="AB41" s="439">
        <f t="shared" si="42"/>
        <v>601902943.36588085</v>
      </c>
      <c r="AC41" s="439">
        <f t="shared" si="42"/>
        <v>603094432.75704658</v>
      </c>
      <c r="AD41" s="439">
        <f t="shared" si="42"/>
        <v>604285922.14821041</v>
      </c>
      <c r="AE41" s="439">
        <f t="shared" si="42"/>
        <v>605479072.17649579</v>
      </c>
      <c r="AF41" s="439">
        <f t="shared" si="42"/>
        <v>606668900.93053997</v>
      </c>
      <c r="AG41" s="439">
        <f t="shared" si="42"/>
        <v>607860808.45661557</v>
      </c>
      <c r="AH41" s="439">
        <f t="shared" si="42"/>
        <v>609051879.71287131</v>
      </c>
      <c r="AI41" s="439">
        <f t="shared" si="42"/>
        <v>610243369.10403514</v>
      </c>
      <c r="AJ41" s="439">
        <f t="shared" si="42"/>
        <v>611434858.49520087</v>
      </c>
      <c r="AK41" s="439">
        <f t="shared" si="42"/>
        <v>612626347.88636661</v>
      </c>
      <c r="AL41" s="439">
        <f t="shared" si="42"/>
        <v>613817837.27753043</v>
      </c>
      <c r="AM41" s="439">
        <f t="shared" si="42"/>
        <v>615009326.66869617</v>
      </c>
      <c r="AN41" s="439">
        <f t="shared" si="42"/>
        <v>616200816.05985999</v>
      </c>
      <c r="AO41" s="439">
        <f t="shared" si="42"/>
        <v>617392305.45102572</v>
      </c>
      <c r="AP41" s="439">
        <f t="shared" si="42"/>
        <v>618583794.84219134</v>
      </c>
      <c r="AQ41" s="439">
        <f t="shared" si="42"/>
        <v>619775284.23335528</v>
      </c>
      <c r="AR41" s="439">
        <f t="shared" si="42"/>
        <v>620966773.62452102</v>
      </c>
      <c r="AS41" s="439">
        <f t="shared" si="42"/>
        <v>622158263.01568675</v>
      </c>
      <c r="AT41" s="439">
        <f t="shared" si="42"/>
        <v>487360378.26627934</v>
      </c>
      <c r="AU41" s="440">
        <f t="shared" ref="AU41:BZ41" si="43">AU34*ED35+AU36*ED36+AU37*ED34+AU38*ED37+AU35*ED38+ED39*AU39+AU40*ED40</f>
        <v>593685215.7866534</v>
      </c>
      <c r="AV41" s="440">
        <f t="shared" si="43"/>
        <v>596840820.69807696</v>
      </c>
      <c r="AW41" s="440">
        <f t="shared" si="43"/>
        <v>576610920.14729047</v>
      </c>
      <c r="AX41" s="440">
        <f t="shared" si="43"/>
        <v>626241831.53895569</v>
      </c>
      <c r="AY41" s="440">
        <f t="shared" si="43"/>
        <v>678632486.52945137</v>
      </c>
      <c r="AZ41" s="440">
        <f t="shared" si="43"/>
        <v>693680039.59946072</v>
      </c>
      <c r="BA41" s="440">
        <f t="shared" si="43"/>
        <v>703263646.33744085</v>
      </c>
      <c r="BB41" s="440">
        <f t="shared" si="43"/>
        <v>692570186.59853482</v>
      </c>
      <c r="BC41" s="440">
        <f t="shared" si="43"/>
        <v>741818216.76020801</v>
      </c>
      <c r="BD41" s="440">
        <f t="shared" si="43"/>
        <v>702259858.56839967</v>
      </c>
      <c r="BE41" s="440">
        <f t="shared" si="43"/>
        <v>661293444.65653121</v>
      </c>
      <c r="BF41" s="440">
        <f t="shared" si="43"/>
        <v>654362245.21137512</v>
      </c>
      <c r="BG41" s="440">
        <f t="shared" si="43"/>
        <v>705730728.97777033</v>
      </c>
      <c r="BH41" s="440">
        <f t="shared" si="43"/>
        <v>634887423.21680617</v>
      </c>
      <c r="BI41" s="440">
        <f t="shared" si="43"/>
        <v>566827051.11023867</v>
      </c>
      <c r="BJ41" s="440">
        <f t="shared" si="43"/>
        <v>554924595.74348211</v>
      </c>
      <c r="BK41" s="440">
        <f t="shared" si="43"/>
        <v>586546888.65799999</v>
      </c>
      <c r="BL41" s="440">
        <f t="shared" si="43"/>
        <v>633693619.36047447</v>
      </c>
      <c r="BM41" s="440">
        <f t="shared" si="43"/>
        <v>585294938.69897914</v>
      </c>
      <c r="BN41" s="440">
        <f t="shared" si="43"/>
        <v>568525524.94666028</v>
      </c>
      <c r="BO41" s="440">
        <f t="shared" si="43"/>
        <v>668982953.21524143</v>
      </c>
      <c r="BP41" s="440">
        <f t="shared" si="43"/>
        <v>657961784.37119925</v>
      </c>
      <c r="BQ41" s="440">
        <f t="shared" si="43"/>
        <v>718459110.43637335</v>
      </c>
      <c r="BR41" s="440">
        <f t="shared" si="43"/>
        <v>622547457.66530287</v>
      </c>
      <c r="BS41" s="440">
        <f t="shared" si="43"/>
        <v>598832079.99610019</v>
      </c>
      <c r="BT41" s="440">
        <f t="shared" si="43"/>
        <v>444710144.65783358</v>
      </c>
      <c r="BU41" s="440">
        <f t="shared" si="43"/>
        <v>534369122.700845</v>
      </c>
      <c r="BV41" s="440">
        <f t="shared" si="43"/>
        <v>512434460.79502738</v>
      </c>
      <c r="BW41" s="440">
        <f t="shared" si="43"/>
        <v>387945444.28138983</v>
      </c>
      <c r="BX41" s="440">
        <f t="shared" si="43"/>
        <v>373138227.37729454</v>
      </c>
      <c r="BY41" s="440">
        <f t="shared" si="43"/>
        <v>425903785.41244686</v>
      </c>
      <c r="BZ41" s="440">
        <f t="shared" si="43"/>
        <v>489750863.73656225</v>
      </c>
      <c r="CA41" s="440">
        <f t="shared" ref="CA41:CL41" si="44">CA34*FJ35+CA36*FJ36+CA37*FJ34+CA38*FJ37+CA35*FJ38+FJ39*CA39+CA40*FJ40</f>
        <v>511381207.91732121</v>
      </c>
      <c r="CB41" s="440">
        <f t="shared" si="44"/>
        <v>557570187.91693258</v>
      </c>
      <c r="CC41" s="440">
        <f t="shared" si="44"/>
        <v>598003174.12531316</v>
      </c>
      <c r="CD41" s="440">
        <f t="shared" si="44"/>
        <v>678696627.20882642</v>
      </c>
      <c r="CE41" s="440">
        <f t="shared" si="44"/>
        <v>788122163.39789057</v>
      </c>
      <c r="CF41" s="440">
        <f t="shared" si="44"/>
        <v>705680977.83974016</v>
      </c>
      <c r="CG41" s="440">
        <f t="shared" si="44"/>
        <v>600546829.18198895</v>
      </c>
      <c r="CH41" s="440">
        <f t="shared" si="44"/>
        <v>595086123.9826355</v>
      </c>
      <c r="CI41" s="440">
        <f t="shared" si="44"/>
        <v>643695091.35908115</v>
      </c>
      <c r="CJ41" s="440">
        <f t="shared" si="44"/>
        <v>718157824.88290548</v>
      </c>
      <c r="CK41" s="440">
        <f t="shared" si="44"/>
        <v>819008076.59619951</v>
      </c>
      <c r="CL41" s="441">
        <f t="shared" si="44"/>
        <v>879469757.79978478</v>
      </c>
      <c r="CM41" s="442">
        <f t="shared" si="27"/>
        <v>609458440.19497406</v>
      </c>
      <c r="CN41" s="443" t="s">
        <v>180</v>
      </c>
      <c r="CO41" s="444">
        <f t="shared" ref="CO41:EB41" si="45">0.75*CO36</f>
        <v>27.734853846153825</v>
      </c>
      <c r="CP41" s="444">
        <f t="shared" si="45"/>
        <v>27.734853846153825</v>
      </c>
      <c r="CQ41" s="444">
        <f t="shared" si="45"/>
        <v>27.734853846153825</v>
      </c>
      <c r="CR41" s="444">
        <f t="shared" si="45"/>
        <v>27.734853846153825</v>
      </c>
      <c r="CS41" s="444">
        <f t="shared" si="45"/>
        <v>27.734853846153825</v>
      </c>
      <c r="CT41" s="444">
        <f t="shared" si="45"/>
        <v>27.734853846153825</v>
      </c>
      <c r="CU41" s="444">
        <f t="shared" si="45"/>
        <v>27.734853846153825</v>
      </c>
      <c r="CV41" s="444">
        <f t="shared" si="45"/>
        <v>27.734853846153825</v>
      </c>
      <c r="CW41" s="444">
        <f t="shared" si="45"/>
        <v>28.317217948717946</v>
      </c>
      <c r="CX41" s="444">
        <f t="shared" si="45"/>
        <v>27.734853846153825</v>
      </c>
      <c r="CY41" s="444">
        <f t="shared" si="45"/>
        <v>28.317217948717946</v>
      </c>
      <c r="CZ41" s="444">
        <f t="shared" si="45"/>
        <v>28.899582051282074</v>
      </c>
      <c r="DA41" s="444">
        <f t="shared" si="45"/>
        <v>29.481946153846124</v>
      </c>
      <c r="DB41" s="444">
        <f t="shared" si="45"/>
        <v>30.064310256410252</v>
      </c>
      <c r="DC41" s="444">
        <f t="shared" si="45"/>
        <v>30.646674358974373</v>
      </c>
      <c r="DD41" s="444">
        <f t="shared" si="45"/>
        <v>31.229038461538501</v>
      </c>
      <c r="DE41" s="444">
        <f t="shared" si="45"/>
        <v>31.811402564102551</v>
      </c>
      <c r="DF41" s="444">
        <f t="shared" si="45"/>
        <v>32.393766666666671</v>
      </c>
      <c r="DG41" s="444">
        <f t="shared" si="45"/>
        <v>32.976130769230799</v>
      </c>
      <c r="DH41" s="444">
        <f t="shared" si="45"/>
        <v>33.558494871794849</v>
      </c>
      <c r="DI41" s="444">
        <f t="shared" si="45"/>
        <v>34.140858974358977</v>
      </c>
      <c r="DJ41" s="444">
        <f t="shared" si="45"/>
        <v>34.723223076923098</v>
      </c>
      <c r="DK41" s="444">
        <f t="shared" si="45"/>
        <v>35.305587179487148</v>
      </c>
      <c r="DL41" s="444">
        <f t="shared" si="45"/>
        <v>35.887951282051276</v>
      </c>
      <c r="DM41" s="444">
        <f t="shared" si="45"/>
        <v>36.470315384615397</v>
      </c>
      <c r="DN41" s="444">
        <f t="shared" si="45"/>
        <v>37.052679487179525</v>
      </c>
      <c r="DO41" s="444">
        <f t="shared" si="45"/>
        <v>37.635043589743574</v>
      </c>
      <c r="DP41" s="444">
        <f t="shared" si="45"/>
        <v>38.217407692307702</v>
      </c>
      <c r="DQ41" s="444">
        <f t="shared" si="45"/>
        <v>38.799771794871823</v>
      </c>
      <c r="DR41" s="444">
        <f t="shared" si="45"/>
        <v>39.382135897435873</v>
      </c>
      <c r="DS41" s="444">
        <f t="shared" si="45"/>
        <v>39.964500000000001</v>
      </c>
      <c r="DT41" s="444">
        <f t="shared" si="45"/>
        <v>40.546864102564122</v>
      </c>
      <c r="DU41" s="444">
        <f t="shared" si="45"/>
        <v>41.129228205128179</v>
      </c>
      <c r="DV41" s="444">
        <f t="shared" si="45"/>
        <v>41.7115923076923</v>
      </c>
      <c r="DW41" s="444">
        <f t="shared" si="45"/>
        <v>42.293956410256428</v>
      </c>
      <c r="DX41" s="444">
        <f t="shared" si="45"/>
        <v>42.876320512820548</v>
      </c>
      <c r="DY41" s="444">
        <f t="shared" si="45"/>
        <v>43.458684615384598</v>
      </c>
      <c r="DZ41" s="444">
        <f t="shared" si="45"/>
        <v>44.041048717948726</v>
      </c>
      <c r="EA41" s="444">
        <f t="shared" si="45"/>
        <v>44.623412820512847</v>
      </c>
      <c r="EB41" s="444">
        <f t="shared" si="45"/>
        <v>45.205776923076904</v>
      </c>
      <c r="EC41" s="444">
        <f>0.75*EC36</f>
        <v>42.075000000000003</v>
      </c>
      <c r="ED41" s="444">
        <f t="shared" ref="ED41:FU41" si="46">0.75*ED36</f>
        <v>43.2</v>
      </c>
      <c r="EE41" s="444">
        <f t="shared" si="46"/>
        <v>41.775000000000006</v>
      </c>
      <c r="EF41" s="444">
        <f t="shared" si="46"/>
        <v>44.962500000000006</v>
      </c>
      <c r="EG41" s="444">
        <f t="shared" si="46"/>
        <v>51.427499999999995</v>
      </c>
      <c r="EH41" s="444">
        <f t="shared" si="46"/>
        <v>59.775000000000006</v>
      </c>
      <c r="EI41" s="444">
        <f t="shared" si="46"/>
        <v>63.757500000000007</v>
      </c>
      <c r="EJ41" s="444">
        <f t="shared" si="46"/>
        <v>55.064999999999998</v>
      </c>
      <c r="EK41" s="444">
        <f t="shared" si="46"/>
        <v>51.1875</v>
      </c>
      <c r="EL41" s="444">
        <f t="shared" si="46"/>
        <v>39.9375</v>
      </c>
      <c r="EM41" s="444">
        <f t="shared" si="46"/>
        <v>49.094999999999999</v>
      </c>
      <c r="EN41" s="444">
        <f t="shared" si="46"/>
        <v>45.697499999999998</v>
      </c>
      <c r="EO41" s="444">
        <f t="shared" si="46"/>
        <v>44.775000000000006</v>
      </c>
      <c r="EP41" s="444">
        <f t="shared" si="46"/>
        <v>44.204999999999998</v>
      </c>
      <c r="EQ41" s="444">
        <f t="shared" si="46"/>
        <v>43.462500000000006</v>
      </c>
      <c r="ER41" s="444">
        <f t="shared" si="46"/>
        <v>58.86</v>
      </c>
      <c r="ES41" s="444">
        <f t="shared" si="46"/>
        <v>61.882500000000007</v>
      </c>
      <c r="ET41" s="444">
        <f t="shared" si="46"/>
        <v>62.699999999999996</v>
      </c>
      <c r="EU41" s="444">
        <f t="shared" si="46"/>
        <v>76.612500000000011</v>
      </c>
      <c r="EV41" s="444">
        <f t="shared" si="46"/>
        <v>55.935000000000002</v>
      </c>
      <c r="EW41" s="444">
        <f t="shared" si="46"/>
        <v>58.837500000000006</v>
      </c>
      <c r="EX41" s="444">
        <f t="shared" si="46"/>
        <v>57.652500000000003</v>
      </c>
      <c r="EY41" s="444">
        <f t="shared" si="46"/>
        <v>61.792500000000004</v>
      </c>
      <c r="EZ41" s="444">
        <f t="shared" si="46"/>
        <v>58.41</v>
      </c>
      <c r="FA41" s="444">
        <f t="shared" si="46"/>
        <v>56.542500000000004</v>
      </c>
      <c r="FB41" s="444">
        <f t="shared" si="46"/>
        <v>50.137499999999996</v>
      </c>
      <c r="FC41" s="444">
        <f t="shared" si="46"/>
        <v>48.435000000000002</v>
      </c>
      <c r="FD41" s="444">
        <f t="shared" si="46"/>
        <v>63.727499999999999</v>
      </c>
      <c r="FE41" s="444">
        <f t="shared" si="46"/>
        <v>58.552499999999995</v>
      </c>
      <c r="FF41" s="444">
        <f t="shared" si="46"/>
        <v>53.377499999999998</v>
      </c>
      <c r="FG41" s="444">
        <f t="shared" si="46"/>
        <v>51.172499999999999</v>
      </c>
      <c r="FH41" s="444">
        <f t="shared" si="46"/>
        <v>51.900000000000006</v>
      </c>
      <c r="FI41" s="444">
        <f t="shared" si="46"/>
        <v>53.37</v>
      </c>
      <c r="FJ41" s="444">
        <f t="shared" si="46"/>
        <v>62.175000000000004</v>
      </c>
      <c r="FK41" s="444">
        <f t="shared" si="46"/>
        <v>66.66</v>
      </c>
      <c r="FL41" s="444">
        <f t="shared" si="46"/>
        <v>60.105000000000004</v>
      </c>
      <c r="FM41" s="444">
        <f t="shared" si="46"/>
        <v>67.072500000000005</v>
      </c>
      <c r="FN41" s="444">
        <f t="shared" si="46"/>
        <v>77.085000000000008</v>
      </c>
      <c r="FO41" s="444">
        <f t="shared" si="46"/>
        <v>76.6875</v>
      </c>
      <c r="FP41" s="444">
        <f t="shared" si="46"/>
        <v>75.239999999999995</v>
      </c>
      <c r="FQ41" s="444">
        <f t="shared" si="46"/>
        <v>61.005000000000003</v>
      </c>
      <c r="FR41" s="444">
        <f t="shared" si="46"/>
        <v>68.002499999999998</v>
      </c>
      <c r="FS41" s="444">
        <f t="shared" si="46"/>
        <v>68.894999999999996</v>
      </c>
      <c r="FT41" s="444">
        <f t="shared" si="46"/>
        <v>71.992499999999993</v>
      </c>
      <c r="FU41" s="444">
        <f t="shared" si="46"/>
        <v>71.212500000000006</v>
      </c>
      <c r="FV41" s="445">
        <f t="shared" si="28"/>
        <v>57.476166666666664</v>
      </c>
      <c r="FW41" s="312"/>
    </row>
    <row r="42" spans="1:179">
      <c r="A42" s="1049" t="s">
        <v>325</v>
      </c>
      <c r="B42" s="286" t="s">
        <v>305</v>
      </c>
      <c r="C42" s="356" t="s">
        <v>323</v>
      </c>
      <c r="D42" s="356"/>
      <c r="E42" s="158">
        <v>58.016529232000003</v>
      </c>
      <c r="F42" s="446" t="s">
        <v>326</v>
      </c>
      <c r="G42" s="447">
        <f t="shared" ref="G42:AS42" si="47">$E$42*G16</f>
        <v>6515410.0640951805</v>
      </c>
      <c r="H42" s="447">
        <f t="shared" si="47"/>
        <v>6515410.0640951805</v>
      </c>
      <c r="I42" s="447">
        <f t="shared" si="47"/>
        <v>6515410.0640951805</v>
      </c>
      <c r="J42" s="447">
        <f t="shared" si="47"/>
        <v>6515410.0640951805</v>
      </c>
      <c r="K42" s="447">
        <f t="shared" si="47"/>
        <v>6515410.0640951805</v>
      </c>
      <c r="L42" s="447">
        <f t="shared" si="47"/>
        <v>6515410.0640951805</v>
      </c>
      <c r="M42" s="447">
        <f t="shared" si="47"/>
        <v>6515410.0640951805</v>
      </c>
      <c r="N42" s="447">
        <f t="shared" si="47"/>
        <v>6515410.0640951805</v>
      </c>
      <c r="O42" s="447">
        <f t="shared" si="47"/>
        <v>6515410.0640951805</v>
      </c>
      <c r="P42" s="447">
        <f t="shared" si="47"/>
        <v>6515410.0640951805</v>
      </c>
      <c r="Q42" s="447">
        <f t="shared" si="47"/>
        <v>6515410.0640951805</v>
      </c>
      <c r="R42" s="447">
        <f t="shared" si="47"/>
        <v>6515410.0640951805</v>
      </c>
      <c r="S42" s="447">
        <f t="shared" si="47"/>
        <v>6515410.0640951805</v>
      </c>
      <c r="T42" s="447">
        <f t="shared" si="47"/>
        <v>6515410.0640951805</v>
      </c>
      <c r="U42" s="447">
        <f t="shared" si="47"/>
        <v>6515410.0640951805</v>
      </c>
      <c r="V42" s="447">
        <f t="shared" si="47"/>
        <v>6515410.0640951805</v>
      </c>
      <c r="W42" s="447">
        <f t="shared" si="47"/>
        <v>6515410.0640951805</v>
      </c>
      <c r="X42" s="447">
        <f t="shared" si="47"/>
        <v>6515410.0640951805</v>
      </c>
      <c r="Y42" s="447">
        <f t="shared" si="47"/>
        <v>6515410.0640951805</v>
      </c>
      <c r="Z42" s="447">
        <f t="shared" si="47"/>
        <v>6515410.0640951805</v>
      </c>
      <c r="AA42" s="447">
        <f t="shared" si="47"/>
        <v>6515410.0640951805</v>
      </c>
      <c r="AB42" s="447">
        <f t="shared" si="47"/>
        <v>6515410.0640951805</v>
      </c>
      <c r="AC42" s="447">
        <f t="shared" si="47"/>
        <v>6515410.0640951805</v>
      </c>
      <c r="AD42" s="447">
        <f t="shared" si="47"/>
        <v>6515410.0640951805</v>
      </c>
      <c r="AE42" s="447">
        <f t="shared" si="47"/>
        <v>6515410.0640951805</v>
      </c>
      <c r="AF42" s="447">
        <f t="shared" si="47"/>
        <v>6515410.0640951805</v>
      </c>
      <c r="AG42" s="447">
        <f t="shared" si="47"/>
        <v>6515410.0640951805</v>
      </c>
      <c r="AH42" s="447">
        <f t="shared" si="47"/>
        <v>6515410.0640951805</v>
      </c>
      <c r="AI42" s="447">
        <f t="shared" si="47"/>
        <v>6515410.0640951805</v>
      </c>
      <c r="AJ42" s="447">
        <f t="shared" si="47"/>
        <v>6515410.0640951805</v>
      </c>
      <c r="AK42" s="447">
        <f t="shared" si="47"/>
        <v>6515410.0640951805</v>
      </c>
      <c r="AL42" s="447">
        <f t="shared" si="47"/>
        <v>6515410.0640951805</v>
      </c>
      <c r="AM42" s="447">
        <f t="shared" si="47"/>
        <v>6515410.0640951805</v>
      </c>
      <c r="AN42" s="447">
        <f t="shared" si="47"/>
        <v>6515410.0640951805</v>
      </c>
      <c r="AO42" s="447">
        <f t="shared" si="47"/>
        <v>6515410.0640951805</v>
      </c>
      <c r="AP42" s="447">
        <f t="shared" si="47"/>
        <v>6515410.0640951805</v>
      </c>
      <c r="AQ42" s="447">
        <f t="shared" si="47"/>
        <v>6515410.0640951805</v>
      </c>
      <c r="AR42" s="447">
        <f t="shared" si="47"/>
        <v>6515410.0640951805</v>
      </c>
      <c r="AS42" s="447">
        <f t="shared" si="47"/>
        <v>6515410.0640951805</v>
      </c>
      <c r="AT42" s="447">
        <f>$E$42*AT16</f>
        <v>6515410.0640951805</v>
      </c>
      <c r="AU42" s="448">
        <f t="shared" ref="AU42:CL42" si="48">$E$42*AU16</f>
        <v>6515410.0640951805</v>
      </c>
      <c r="AV42" s="448">
        <f t="shared" si="48"/>
        <v>6515410.0640951805</v>
      </c>
      <c r="AW42" s="448">
        <f t="shared" si="48"/>
        <v>6515410.0640951805</v>
      </c>
      <c r="AX42" s="448">
        <f t="shared" si="48"/>
        <v>6515410.0640951805</v>
      </c>
      <c r="AY42" s="448">
        <f t="shared" si="48"/>
        <v>6515410.0640951805</v>
      </c>
      <c r="AZ42" s="448">
        <f t="shared" si="48"/>
        <v>6515410.0640951805</v>
      </c>
      <c r="BA42" s="448">
        <f t="shared" si="48"/>
        <v>6515410.0640951805</v>
      </c>
      <c r="BB42" s="448">
        <f t="shared" si="48"/>
        <v>6515410.0640951805</v>
      </c>
      <c r="BC42" s="448">
        <f t="shared" si="48"/>
        <v>6515410.0640951805</v>
      </c>
      <c r="BD42" s="448">
        <f t="shared" si="48"/>
        <v>6515410.0640951805</v>
      </c>
      <c r="BE42" s="448">
        <f t="shared" si="48"/>
        <v>6515410.0640951805</v>
      </c>
      <c r="BF42" s="448">
        <f t="shared" si="48"/>
        <v>6515410.0640951805</v>
      </c>
      <c r="BG42" s="448">
        <f t="shared" si="48"/>
        <v>6515410.0640951805</v>
      </c>
      <c r="BH42" s="448">
        <f t="shared" si="48"/>
        <v>6515410.0640951805</v>
      </c>
      <c r="BI42" s="448">
        <f t="shared" si="48"/>
        <v>6515410.0640951805</v>
      </c>
      <c r="BJ42" s="448">
        <f t="shared" si="48"/>
        <v>6515410.0640951805</v>
      </c>
      <c r="BK42" s="448">
        <f t="shared" si="48"/>
        <v>6515410.0640951805</v>
      </c>
      <c r="BL42" s="448">
        <f t="shared" si="48"/>
        <v>6515410.0640951805</v>
      </c>
      <c r="BM42" s="448">
        <f t="shared" si="48"/>
        <v>6515410.0640951805</v>
      </c>
      <c r="BN42" s="448">
        <f t="shared" si="48"/>
        <v>6515410.0640951805</v>
      </c>
      <c r="BO42" s="448">
        <f t="shared" si="48"/>
        <v>6515410.0640951805</v>
      </c>
      <c r="BP42" s="448">
        <f t="shared" si="48"/>
        <v>6515410.0640951805</v>
      </c>
      <c r="BQ42" s="448">
        <f t="shared" si="48"/>
        <v>6515410.0640951805</v>
      </c>
      <c r="BR42" s="448">
        <f t="shared" si="48"/>
        <v>6515410.0640951805</v>
      </c>
      <c r="BS42" s="448">
        <f t="shared" si="48"/>
        <v>6515410.0640951805</v>
      </c>
      <c r="BT42" s="448">
        <f t="shared" si="48"/>
        <v>6515410.0640951805</v>
      </c>
      <c r="BU42" s="448">
        <f t="shared" si="48"/>
        <v>6515410.0640951805</v>
      </c>
      <c r="BV42" s="448">
        <f t="shared" si="48"/>
        <v>6515410.0640951805</v>
      </c>
      <c r="BW42" s="448">
        <f t="shared" si="48"/>
        <v>6515410.0640951805</v>
      </c>
      <c r="BX42" s="448">
        <f t="shared" si="48"/>
        <v>6515410.0640951805</v>
      </c>
      <c r="BY42" s="448">
        <f t="shared" si="48"/>
        <v>6515410.0640951805</v>
      </c>
      <c r="BZ42" s="448">
        <f t="shared" si="48"/>
        <v>6515410.0640951805</v>
      </c>
      <c r="CA42" s="448">
        <f t="shared" si="48"/>
        <v>6515410.0640951805</v>
      </c>
      <c r="CB42" s="448">
        <f t="shared" si="48"/>
        <v>6515410.0640951805</v>
      </c>
      <c r="CC42" s="448">
        <f t="shared" si="48"/>
        <v>6515410.0640951805</v>
      </c>
      <c r="CD42" s="448">
        <f t="shared" si="48"/>
        <v>6515410.0640951805</v>
      </c>
      <c r="CE42" s="448">
        <f t="shared" si="48"/>
        <v>6515410.0640951805</v>
      </c>
      <c r="CF42" s="448">
        <f t="shared" si="48"/>
        <v>6515410.0640951805</v>
      </c>
      <c r="CG42" s="448">
        <f t="shared" si="48"/>
        <v>6515410.0640951805</v>
      </c>
      <c r="CH42" s="448">
        <f t="shared" si="48"/>
        <v>6515410.0640951805</v>
      </c>
      <c r="CI42" s="448">
        <f t="shared" si="48"/>
        <v>6515410.0640951805</v>
      </c>
      <c r="CJ42" s="448">
        <f t="shared" si="48"/>
        <v>6515410.0640951805</v>
      </c>
      <c r="CK42" s="448">
        <f t="shared" si="48"/>
        <v>6515410.0640951805</v>
      </c>
      <c r="CL42" s="448">
        <f t="shared" si="48"/>
        <v>6515410.0640951805</v>
      </c>
      <c r="CM42" s="319">
        <f t="shared" si="27"/>
        <v>6515410.0640951861</v>
      </c>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313"/>
    </row>
    <row r="43" spans="1:179">
      <c r="A43" s="1050"/>
      <c r="B43" s="224" t="s">
        <v>305</v>
      </c>
      <c r="C43" s="367" t="s">
        <v>323</v>
      </c>
      <c r="D43" s="362"/>
      <c r="E43" s="75">
        <v>113.95</v>
      </c>
      <c r="F43" s="413" t="s">
        <v>327</v>
      </c>
      <c r="G43" s="449">
        <f t="shared" ref="G43:AS43" si="49">$E$43*G16</f>
        <v>12796887.139435178</v>
      </c>
      <c r="H43" s="449">
        <f t="shared" si="49"/>
        <v>12796887.139435178</v>
      </c>
      <c r="I43" s="449">
        <f t="shared" si="49"/>
        <v>12796887.139435178</v>
      </c>
      <c r="J43" s="449">
        <f t="shared" si="49"/>
        <v>12796887.139435178</v>
      </c>
      <c r="K43" s="449">
        <f t="shared" si="49"/>
        <v>12796887.139435178</v>
      </c>
      <c r="L43" s="449">
        <f t="shared" si="49"/>
        <v>12796887.139435178</v>
      </c>
      <c r="M43" s="449">
        <f t="shared" si="49"/>
        <v>12796887.139435178</v>
      </c>
      <c r="N43" s="449">
        <f t="shared" si="49"/>
        <v>12796887.139435178</v>
      </c>
      <c r="O43" s="449">
        <f t="shared" si="49"/>
        <v>12796887.139435178</v>
      </c>
      <c r="P43" s="449">
        <f t="shared" si="49"/>
        <v>12796887.139435178</v>
      </c>
      <c r="Q43" s="449">
        <f t="shared" si="49"/>
        <v>12796887.139435178</v>
      </c>
      <c r="R43" s="449">
        <f t="shared" si="49"/>
        <v>12796887.139435178</v>
      </c>
      <c r="S43" s="449">
        <f t="shared" si="49"/>
        <v>12796887.139435178</v>
      </c>
      <c r="T43" s="449">
        <f t="shared" si="49"/>
        <v>12796887.139435178</v>
      </c>
      <c r="U43" s="449">
        <f t="shared" si="49"/>
        <v>12796887.139435178</v>
      </c>
      <c r="V43" s="449">
        <f t="shared" si="49"/>
        <v>12796887.139435178</v>
      </c>
      <c r="W43" s="449">
        <f t="shared" si="49"/>
        <v>12796887.139435178</v>
      </c>
      <c r="X43" s="449">
        <f t="shared" si="49"/>
        <v>12796887.139435178</v>
      </c>
      <c r="Y43" s="449">
        <f t="shared" si="49"/>
        <v>12796887.139435178</v>
      </c>
      <c r="Z43" s="449">
        <f t="shared" si="49"/>
        <v>12796887.139435178</v>
      </c>
      <c r="AA43" s="449">
        <f t="shared" si="49"/>
        <v>12796887.139435178</v>
      </c>
      <c r="AB43" s="449">
        <f t="shared" si="49"/>
        <v>12796887.139435178</v>
      </c>
      <c r="AC43" s="449">
        <f t="shared" si="49"/>
        <v>12796887.139435178</v>
      </c>
      <c r="AD43" s="449">
        <f t="shared" si="49"/>
        <v>12796887.139435178</v>
      </c>
      <c r="AE43" s="449">
        <f t="shared" si="49"/>
        <v>12796887.139435178</v>
      </c>
      <c r="AF43" s="449">
        <f t="shared" si="49"/>
        <v>12796887.139435178</v>
      </c>
      <c r="AG43" s="449">
        <f t="shared" si="49"/>
        <v>12796887.139435178</v>
      </c>
      <c r="AH43" s="449">
        <f t="shared" si="49"/>
        <v>12796887.139435178</v>
      </c>
      <c r="AI43" s="449">
        <f t="shared" si="49"/>
        <v>12796887.139435178</v>
      </c>
      <c r="AJ43" s="449">
        <f t="shared" si="49"/>
        <v>12796887.139435178</v>
      </c>
      <c r="AK43" s="449">
        <f t="shared" si="49"/>
        <v>12796887.139435178</v>
      </c>
      <c r="AL43" s="449">
        <f t="shared" si="49"/>
        <v>12796887.139435178</v>
      </c>
      <c r="AM43" s="449">
        <f t="shared" si="49"/>
        <v>12796887.139435178</v>
      </c>
      <c r="AN43" s="449">
        <f t="shared" si="49"/>
        <v>12796887.139435178</v>
      </c>
      <c r="AO43" s="449">
        <f t="shared" si="49"/>
        <v>12796887.139435178</v>
      </c>
      <c r="AP43" s="449">
        <f t="shared" si="49"/>
        <v>12796887.139435178</v>
      </c>
      <c r="AQ43" s="449">
        <f t="shared" si="49"/>
        <v>12796887.139435178</v>
      </c>
      <c r="AR43" s="449">
        <f t="shared" si="49"/>
        <v>12796887.139435178</v>
      </c>
      <c r="AS43" s="449">
        <f t="shared" si="49"/>
        <v>12796887.139435178</v>
      </c>
      <c r="AT43" s="449">
        <f>$E$43*AT16</f>
        <v>12796887.139435178</v>
      </c>
      <c r="AU43" s="450">
        <f t="shared" ref="AU43:CL43" si="50">$E$43*AU16</f>
        <v>12796887.139435178</v>
      </c>
      <c r="AV43" s="450">
        <f t="shared" si="50"/>
        <v>12796887.139435178</v>
      </c>
      <c r="AW43" s="450">
        <f t="shared" si="50"/>
        <v>12796887.139435178</v>
      </c>
      <c r="AX43" s="450">
        <f t="shared" si="50"/>
        <v>12796887.139435178</v>
      </c>
      <c r="AY43" s="450">
        <f t="shared" si="50"/>
        <v>12796887.139435178</v>
      </c>
      <c r="AZ43" s="450">
        <f t="shared" si="50"/>
        <v>12796887.139435178</v>
      </c>
      <c r="BA43" s="450">
        <f t="shared" si="50"/>
        <v>12796887.139435178</v>
      </c>
      <c r="BB43" s="450">
        <f t="shared" si="50"/>
        <v>12796887.139435178</v>
      </c>
      <c r="BC43" s="450">
        <f t="shared" si="50"/>
        <v>12796887.139435178</v>
      </c>
      <c r="BD43" s="450">
        <f t="shared" si="50"/>
        <v>12796887.139435178</v>
      </c>
      <c r="BE43" s="450">
        <f t="shared" si="50"/>
        <v>12796887.139435178</v>
      </c>
      <c r="BF43" s="450">
        <f t="shared" si="50"/>
        <v>12796887.139435178</v>
      </c>
      <c r="BG43" s="450">
        <f t="shared" si="50"/>
        <v>12796887.139435178</v>
      </c>
      <c r="BH43" s="450">
        <f t="shared" si="50"/>
        <v>12796887.139435178</v>
      </c>
      <c r="BI43" s="450">
        <f t="shared" si="50"/>
        <v>12796887.139435178</v>
      </c>
      <c r="BJ43" s="450">
        <f t="shared" si="50"/>
        <v>12796887.139435178</v>
      </c>
      <c r="BK43" s="450">
        <f t="shared" si="50"/>
        <v>12796887.139435178</v>
      </c>
      <c r="BL43" s="450">
        <f t="shared" si="50"/>
        <v>12796887.139435178</v>
      </c>
      <c r="BM43" s="450">
        <f t="shared" si="50"/>
        <v>12796887.139435178</v>
      </c>
      <c r="BN43" s="450">
        <f t="shared" si="50"/>
        <v>12796887.139435178</v>
      </c>
      <c r="BO43" s="450">
        <f t="shared" si="50"/>
        <v>12796887.139435178</v>
      </c>
      <c r="BP43" s="450">
        <f t="shared" si="50"/>
        <v>12796887.139435178</v>
      </c>
      <c r="BQ43" s="450">
        <f t="shared" si="50"/>
        <v>12796887.139435178</v>
      </c>
      <c r="BR43" s="450">
        <f t="shared" si="50"/>
        <v>12796887.139435178</v>
      </c>
      <c r="BS43" s="450">
        <f t="shared" si="50"/>
        <v>12796887.139435178</v>
      </c>
      <c r="BT43" s="450">
        <f t="shared" si="50"/>
        <v>12796887.139435178</v>
      </c>
      <c r="BU43" s="450">
        <f t="shared" si="50"/>
        <v>12796887.139435178</v>
      </c>
      <c r="BV43" s="450">
        <f t="shared" si="50"/>
        <v>12796887.139435178</v>
      </c>
      <c r="BW43" s="450">
        <f t="shared" si="50"/>
        <v>12796887.139435178</v>
      </c>
      <c r="BX43" s="450">
        <f t="shared" si="50"/>
        <v>12796887.139435178</v>
      </c>
      <c r="BY43" s="450">
        <f t="shared" si="50"/>
        <v>12796887.139435178</v>
      </c>
      <c r="BZ43" s="450">
        <f t="shared" si="50"/>
        <v>12796887.139435178</v>
      </c>
      <c r="CA43" s="450">
        <f t="shared" si="50"/>
        <v>12796887.139435178</v>
      </c>
      <c r="CB43" s="450">
        <f t="shared" si="50"/>
        <v>12796887.139435178</v>
      </c>
      <c r="CC43" s="450">
        <f t="shared" si="50"/>
        <v>12796887.139435178</v>
      </c>
      <c r="CD43" s="450">
        <f t="shared" si="50"/>
        <v>12796887.139435178</v>
      </c>
      <c r="CE43" s="450">
        <f t="shared" si="50"/>
        <v>12796887.139435178</v>
      </c>
      <c r="CF43" s="450">
        <f t="shared" si="50"/>
        <v>12796887.139435178</v>
      </c>
      <c r="CG43" s="450">
        <f t="shared" si="50"/>
        <v>12796887.139435178</v>
      </c>
      <c r="CH43" s="450">
        <f t="shared" si="50"/>
        <v>12796887.139435178</v>
      </c>
      <c r="CI43" s="450">
        <f t="shared" si="50"/>
        <v>12796887.139435178</v>
      </c>
      <c r="CJ43" s="450">
        <f t="shared" si="50"/>
        <v>12796887.139435178</v>
      </c>
      <c r="CK43" s="450">
        <f t="shared" si="50"/>
        <v>12796887.139435178</v>
      </c>
      <c r="CL43" s="450">
        <f t="shared" si="50"/>
        <v>12796887.139435178</v>
      </c>
      <c r="CM43" s="319">
        <f t="shared" si="27"/>
        <v>12796887.139435176</v>
      </c>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row>
    <row r="44" spans="1:179" ht="17.25" customHeight="1">
      <c r="A44" s="451" t="s">
        <v>31</v>
      </c>
      <c r="B44" s="452" t="s">
        <v>305</v>
      </c>
      <c r="C44" s="451" t="s">
        <v>323</v>
      </c>
      <c r="D44" s="451"/>
      <c r="E44" s="453">
        <v>7924</v>
      </c>
      <c r="F44" s="454" t="s">
        <v>328</v>
      </c>
      <c r="G44" s="455">
        <f>$E$44*G16</f>
        <v>889886210.556247</v>
      </c>
      <c r="H44" s="455">
        <f t="shared" ref="H44:BS44" si="51">$E$44*H16</f>
        <v>889886210.556247</v>
      </c>
      <c r="I44" s="455">
        <f t="shared" si="51"/>
        <v>889886210.556247</v>
      </c>
      <c r="J44" s="455">
        <f t="shared" si="51"/>
        <v>889886210.556247</v>
      </c>
      <c r="K44" s="455">
        <f t="shared" si="51"/>
        <v>889886210.556247</v>
      </c>
      <c r="L44" s="455">
        <f t="shared" si="51"/>
        <v>889886210.556247</v>
      </c>
      <c r="M44" s="455">
        <f t="shared" si="51"/>
        <v>889886210.556247</v>
      </c>
      <c r="N44" s="455">
        <f t="shared" si="51"/>
        <v>889886210.556247</v>
      </c>
      <c r="O44" s="455">
        <f t="shared" si="51"/>
        <v>889886210.556247</v>
      </c>
      <c r="P44" s="455">
        <f t="shared" si="51"/>
        <v>889886210.556247</v>
      </c>
      <c r="Q44" s="455">
        <f t="shared" si="51"/>
        <v>889886210.556247</v>
      </c>
      <c r="R44" s="455">
        <f t="shared" si="51"/>
        <v>889886210.556247</v>
      </c>
      <c r="S44" s="455">
        <f t="shared" si="51"/>
        <v>889886210.556247</v>
      </c>
      <c r="T44" s="455">
        <f t="shared" si="51"/>
        <v>889886210.556247</v>
      </c>
      <c r="U44" s="455">
        <f t="shared" si="51"/>
        <v>889886210.556247</v>
      </c>
      <c r="V44" s="455">
        <f t="shared" si="51"/>
        <v>889886210.556247</v>
      </c>
      <c r="W44" s="455">
        <f t="shared" si="51"/>
        <v>889886210.556247</v>
      </c>
      <c r="X44" s="455">
        <f t="shared" si="51"/>
        <v>889886210.556247</v>
      </c>
      <c r="Y44" s="455">
        <f t="shared" si="51"/>
        <v>889886210.556247</v>
      </c>
      <c r="Z44" s="455">
        <f t="shared" si="51"/>
        <v>889886210.556247</v>
      </c>
      <c r="AA44" s="455">
        <f t="shared" si="51"/>
        <v>889886210.556247</v>
      </c>
      <c r="AB44" s="455">
        <f t="shared" si="51"/>
        <v>889886210.556247</v>
      </c>
      <c r="AC44" s="455">
        <f t="shared" si="51"/>
        <v>889886210.556247</v>
      </c>
      <c r="AD44" s="455">
        <f t="shared" si="51"/>
        <v>889886210.556247</v>
      </c>
      <c r="AE44" s="455">
        <f t="shared" si="51"/>
        <v>889886210.556247</v>
      </c>
      <c r="AF44" s="455">
        <f t="shared" si="51"/>
        <v>889886210.556247</v>
      </c>
      <c r="AG44" s="455">
        <f t="shared" si="51"/>
        <v>889886210.556247</v>
      </c>
      <c r="AH44" s="455">
        <f t="shared" si="51"/>
        <v>889886210.556247</v>
      </c>
      <c r="AI44" s="455">
        <f t="shared" si="51"/>
        <v>889886210.556247</v>
      </c>
      <c r="AJ44" s="455">
        <f t="shared" si="51"/>
        <v>889886210.556247</v>
      </c>
      <c r="AK44" s="455">
        <f t="shared" si="51"/>
        <v>889886210.556247</v>
      </c>
      <c r="AL44" s="455">
        <f t="shared" si="51"/>
        <v>889886210.556247</v>
      </c>
      <c r="AM44" s="455">
        <f t="shared" si="51"/>
        <v>889886210.556247</v>
      </c>
      <c r="AN44" s="455">
        <f t="shared" si="51"/>
        <v>889886210.556247</v>
      </c>
      <c r="AO44" s="455">
        <f t="shared" si="51"/>
        <v>889886210.556247</v>
      </c>
      <c r="AP44" s="455">
        <f t="shared" si="51"/>
        <v>889886210.556247</v>
      </c>
      <c r="AQ44" s="455">
        <f t="shared" si="51"/>
        <v>889886210.556247</v>
      </c>
      <c r="AR44" s="455">
        <f t="shared" si="51"/>
        <v>889886210.556247</v>
      </c>
      <c r="AS44" s="455">
        <f t="shared" si="51"/>
        <v>889886210.556247</v>
      </c>
      <c r="AT44" s="455">
        <f t="shared" si="51"/>
        <v>889886210.556247</v>
      </c>
      <c r="AU44" s="455">
        <f t="shared" si="51"/>
        <v>889886210.556247</v>
      </c>
      <c r="AV44" s="455">
        <f t="shared" si="51"/>
        <v>889886210.556247</v>
      </c>
      <c r="AW44" s="455">
        <f t="shared" si="51"/>
        <v>889886210.556247</v>
      </c>
      <c r="AX44" s="455">
        <f t="shared" si="51"/>
        <v>889886210.556247</v>
      </c>
      <c r="AY44" s="455">
        <f t="shared" si="51"/>
        <v>889886210.556247</v>
      </c>
      <c r="AZ44" s="455">
        <f t="shared" si="51"/>
        <v>889886210.556247</v>
      </c>
      <c r="BA44" s="455">
        <f t="shared" si="51"/>
        <v>889886210.556247</v>
      </c>
      <c r="BB44" s="455">
        <f t="shared" si="51"/>
        <v>889886210.556247</v>
      </c>
      <c r="BC44" s="455">
        <f t="shared" si="51"/>
        <v>889886210.556247</v>
      </c>
      <c r="BD44" s="455">
        <f t="shared" si="51"/>
        <v>889886210.556247</v>
      </c>
      <c r="BE44" s="455">
        <f t="shared" si="51"/>
        <v>889886210.556247</v>
      </c>
      <c r="BF44" s="455">
        <f t="shared" si="51"/>
        <v>889886210.556247</v>
      </c>
      <c r="BG44" s="455">
        <f t="shared" si="51"/>
        <v>889886210.556247</v>
      </c>
      <c r="BH44" s="455">
        <f t="shared" si="51"/>
        <v>889886210.556247</v>
      </c>
      <c r="BI44" s="455">
        <f t="shared" si="51"/>
        <v>889886210.556247</v>
      </c>
      <c r="BJ44" s="455">
        <f t="shared" si="51"/>
        <v>889886210.556247</v>
      </c>
      <c r="BK44" s="455">
        <f t="shared" si="51"/>
        <v>889886210.556247</v>
      </c>
      <c r="BL44" s="455">
        <f t="shared" si="51"/>
        <v>889886210.556247</v>
      </c>
      <c r="BM44" s="455">
        <f t="shared" si="51"/>
        <v>889886210.556247</v>
      </c>
      <c r="BN44" s="455">
        <f t="shared" si="51"/>
        <v>889886210.556247</v>
      </c>
      <c r="BO44" s="455">
        <f t="shared" si="51"/>
        <v>889886210.556247</v>
      </c>
      <c r="BP44" s="455">
        <f t="shared" si="51"/>
        <v>889886210.556247</v>
      </c>
      <c r="BQ44" s="455">
        <f t="shared" si="51"/>
        <v>889886210.556247</v>
      </c>
      <c r="BR44" s="455">
        <f t="shared" si="51"/>
        <v>889886210.556247</v>
      </c>
      <c r="BS44" s="455">
        <f t="shared" si="51"/>
        <v>889886210.556247</v>
      </c>
      <c r="BT44" s="455">
        <f t="shared" ref="BT44:CL44" si="52">$E$44*BT16</f>
        <v>889886210.556247</v>
      </c>
      <c r="BU44" s="455">
        <f t="shared" si="52"/>
        <v>889886210.556247</v>
      </c>
      <c r="BV44" s="455">
        <f t="shared" si="52"/>
        <v>889886210.556247</v>
      </c>
      <c r="BW44" s="455">
        <f t="shared" si="52"/>
        <v>889886210.556247</v>
      </c>
      <c r="BX44" s="455">
        <f t="shared" si="52"/>
        <v>889886210.556247</v>
      </c>
      <c r="BY44" s="455">
        <f t="shared" si="52"/>
        <v>889886210.556247</v>
      </c>
      <c r="BZ44" s="455">
        <f t="shared" si="52"/>
        <v>889886210.556247</v>
      </c>
      <c r="CA44" s="455">
        <f t="shared" si="52"/>
        <v>889886210.556247</v>
      </c>
      <c r="CB44" s="455">
        <f t="shared" si="52"/>
        <v>889886210.556247</v>
      </c>
      <c r="CC44" s="455">
        <f t="shared" si="52"/>
        <v>889886210.556247</v>
      </c>
      <c r="CD44" s="455">
        <f t="shared" si="52"/>
        <v>889886210.556247</v>
      </c>
      <c r="CE44" s="455">
        <f t="shared" si="52"/>
        <v>889886210.556247</v>
      </c>
      <c r="CF44" s="455">
        <f t="shared" si="52"/>
        <v>889886210.556247</v>
      </c>
      <c r="CG44" s="455">
        <f t="shared" si="52"/>
        <v>889886210.556247</v>
      </c>
      <c r="CH44" s="455">
        <f t="shared" si="52"/>
        <v>889886210.556247</v>
      </c>
      <c r="CI44" s="455">
        <f t="shared" si="52"/>
        <v>889886210.556247</v>
      </c>
      <c r="CJ44" s="455">
        <f t="shared" si="52"/>
        <v>889886210.556247</v>
      </c>
      <c r="CK44" s="455">
        <f t="shared" si="52"/>
        <v>889886210.556247</v>
      </c>
      <c r="CL44" s="455">
        <f t="shared" si="52"/>
        <v>889886210.556247</v>
      </c>
      <c r="CM44" s="455">
        <f t="shared" si="27"/>
        <v>889886210.55624557</v>
      </c>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row>
    <row r="45" spans="1:179" s="314" customFormat="1" ht="20.25" customHeight="1">
      <c r="A45" s="457" t="s">
        <v>238</v>
      </c>
      <c r="B45" s="53" t="s">
        <v>305</v>
      </c>
      <c r="C45" s="457" t="s">
        <v>323</v>
      </c>
      <c r="D45" s="457"/>
      <c r="E45" s="57">
        <v>3131</v>
      </c>
      <c r="F45" s="368" t="s">
        <v>326</v>
      </c>
      <c r="G45" s="455">
        <f>$E$45*G16</f>
        <v>351619601.87425661</v>
      </c>
      <c r="H45" s="455">
        <f t="shared" ref="H45:BS45" si="53">$E$45*H16</f>
        <v>351619601.87425661</v>
      </c>
      <c r="I45" s="455">
        <f t="shared" si="53"/>
        <v>351619601.87425661</v>
      </c>
      <c r="J45" s="455">
        <f t="shared" si="53"/>
        <v>351619601.87425661</v>
      </c>
      <c r="K45" s="455">
        <f t="shared" si="53"/>
        <v>351619601.87425661</v>
      </c>
      <c r="L45" s="455">
        <f t="shared" si="53"/>
        <v>351619601.87425661</v>
      </c>
      <c r="M45" s="455">
        <f t="shared" si="53"/>
        <v>351619601.87425661</v>
      </c>
      <c r="N45" s="455">
        <f t="shared" si="53"/>
        <v>351619601.87425661</v>
      </c>
      <c r="O45" s="455">
        <f t="shared" si="53"/>
        <v>351619601.87425661</v>
      </c>
      <c r="P45" s="455">
        <f t="shared" si="53"/>
        <v>351619601.87425661</v>
      </c>
      <c r="Q45" s="455">
        <f t="shared" si="53"/>
        <v>351619601.87425661</v>
      </c>
      <c r="R45" s="455">
        <f t="shared" si="53"/>
        <v>351619601.87425661</v>
      </c>
      <c r="S45" s="455">
        <f t="shared" si="53"/>
        <v>351619601.87425661</v>
      </c>
      <c r="T45" s="455">
        <f t="shared" si="53"/>
        <v>351619601.87425661</v>
      </c>
      <c r="U45" s="455">
        <f t="shared" si="53"/>
        <v>351619601.87425661</v>
      </c>
      <c r="V45" s="455">
        <f t="shared" si="53"/>
        <v>351619601.87425661</v>
      </c>
      <c r="W45" s="455">
        <f t="shared" si="53"/>
        <v>351619601.87425661</v>
      </c>
      <c r="X45" s="455">
        <f t="shared" si="53"/>
        <v>351619601.87425661</v>
      </c>
      <c r="Y45" s="455">
        <f t="shared" si="53"/>
        <v>351619601.87425661</v>
      </c>
      <c r="Z45" s="455">
        <f t="shared" si="53"/>
        <v>351619601.87425661</v>
      </c>
      <c r="AA45" s="455">
        <f t="shared" si="53"/>
        <v>351619601.87425661</v>
      </c>
      <c r="AB45" s="455">
        <f t="shared" si="53"/>
        <v>351619601.87425661</v>
      </c>
      <c r="AC45" s="455">
        <f t="shared" si="53"/>
        <v>351619601.87425661</v>
      </c>
      <c r="AD45" s="455">
        <f t="shared" si="53"/>
        <v>351619601.87425661</v>
      </c>
      <c r="AE45" s="455">
        <f t="shared" si="53"/>
        <v>351619601.87425661</v>
      </c>
      <c r="AF45" s="455">
        <f t="shared" si="53"/>
        <v>351619601.87425661</v>
      </c>
      <c r="AG45" s="455">
        <f t="shared" si="53"/>
        <v>351619601.87425661</v>
      </c>
      <c r="AH45" s="455">
        <f t="shared" si="53"/>
        <v>351619601.87425661</v>
      </c>
      <c r="AI45" s="455">
        <f t="shared" si="53"/>
        <v>351619601.87425661</v>
      </c>
      <c r="AJ45" s="455">
        <f t="shared" si="53"/>
        <v>351619601.87425661</v>
      </c>
      <c r="AK45" s="455">
        <f t="shared" si="53"/>
        <v>351619601.87425661</v>
      </c>
      <c r="AL45" s="455">
        <f t="shared" si="53"/>
        <v>351619601.87425661</v>
      </c>
      <c r="AM45" s="455">
        <f t="shared" si="53"/>
        <v>351619601.87425661</v>
      </c>
      <c r="AN45" s="455">
        <f t="shared" si="53"/>
        <v>351619601.87425661</v>
      </c>
      <c r="AO45" s="455">
        <f t="shared" si="53"/>
        <v>351619601.87425661</v>
      </c>
      <c r="AP45" s="455">
        <f t="shared" si="53"/>
        <v>351619601.87425661</v>
      </c>
      <c r="AQ45" s="455">
        <f t="shared" si="53"/>
        <v>351619601.87425661</v>
      </c>
      <c r="AR45" s="455">
        <f t="shared" si="53"/>
        <v>351619601.87425661</v>
      </c>
      <c r="AS45" s="455">
        <f t="shared" si="53"/>
        <v>351619601.87425661</v>
      </c>
      <c r="AT45" s="455">
        <f t="shared" si="53"/>
        <v>351619601.87425661</v>
      </c>
      <c r="AU45" s="455">
        <f t="shared" si="53"/>
        <v>351619601.87425661</v>
      </c>
      <c r="AV45" s="455">
        <f t="shared" si="53"/>
        <v>351619601.87425661</v>
      </c>
      <c r="AW45" s="455">
        <f t="shared" si="53"/>
        <v>351619601.87425661</v>
      </c>
      <c r="AX45" s="455">
        <f t="shared" si="53"/>
        <v>351619601.87425661</v>
      </c>
      <c r="AY45" s="455">
        <f t="shared" si="53"/>
        <v>351619601.87425661</v>
      </c>
      <c r="AZ45" s="455">
        <f t="shared" si="53"/>
        <v>351619601.87425661</v>
      </c>
      <c r="BA45" s="455">
        <f t="shared" si="53"/>
        <v>351619601.87425661</v>
      </c>
      <c r="BB45" s="455">
        <f t="shared" si="53"/>
        <v>351619601.87425661</v>
      </c>
      <c r="BC45" s="455">
        <f t="shared" si="53"/>
        <v>351619601.87425661</v>
      </c>
      <c r="BD45" s="455">
        <f t="shared" si="53"/>
        <v>351619601.87425661</v>
      </c>
      <c r="BE45" s="455">
        <f t="shared" si="53"/>
        <v>351619601.87425661</v>
      </c>
      <c r="BF45" s="455">
        <f t="shared" si="53"/>
        <v>351619601.87425661</v>
      </c>
      <c r="BG45" s="455">
        <f t="shared" si="53"/>
        <v>351619601.87425661</v>
      </c>
      <c r="BH45" s="455">
        <f t="shared" si="53"/>
        <v>351619601.87425661</v>
      </c>
      <c r="BI45" s="455">
        <f t="shared" si="53"/>
        <v>351619601.87425661</v>
      </c>
      <c r="BJ45" s="455">
        <f t="shared" si="53"/>
        <v>351619601.87425661</v>
      </c>
      <c r="BK45" s="455">
        <f t="shared" si="53"/>
        <v>351619601.87425661</v>
      </c>
      <c r="BL45" s="455">
        <f t="shared" si="53"/>
        <v>351619601.87425661</v>
      </c>
      <c r="BM45" s="455">
        <f t="shared" si="53"/>
        <v>351619601.87425661</v>
      </c>
      <c r="BN45" s="455">
        <f t="shared" si="53"/>
        <v>351619601.87425661</v>
      </c>
      <c r="BO45" s="455">
        <f t="shared" si="53"/>
        <v>351619601.87425661</v>
      </c>
      <c r="BP45" s="455">
        <f t="shared" si="53"/>
        <v>351619601.87425661</v>
      </c>
      <c r="BQ45" s="455">
        <f t="shared" si="53"/>
        <v>351619601.87425661</v>
      </c>
      <c r="BR45" s="455">
        <f t="shared" si="53"/>
        <v>351619601.87425661</v>
      </c>
      <c r="BS45" s="455">
        <f t="shared" si="53"/>
        <v>351619601.87425661</v>
      </c>
      <c r="BT45" s="455">
        <f t="shared" ref="BT45:CL45" si="54">$E$45*BT16</f>
        <v>351619601.87425661</v>
      </c>
      <c r="BU45" s="455">
        <f t="shared" si="54"/>
        <v>351619601.87425661</v>
      </c>
      <c r="BV45" s="455">
        <f t="shared" si="54"/>
        <v>351619601.87425661</v>
      </c>
      <c r="BW45" s="455">
        <f t="shared" si="54"/>
        <v>351619601.87425661</v>
      </c>
      <c r="BX45" s="455">
        <f t="shared" si="54"/>
        <v>351619601.87425661</v>
      </c>
      <c r="BY45" s="455">
        <f t="shared" si="54"/>
        <v>351619601.87425661</v>
      </c>
      <c r="BZ45" s="455">
        <f t="shared" si="54"/>
        <v>351619601.87425661</v>
      </c>
      <c r="CA45" s="455">
        <f t="shared" si="54"/>
        <v>351619601.87425661</v>
      </c>
      <c r="CB45" s="455">
        <f t="shared" si="54"/>
        <v>351619601.87425661</v>
      </c>
      <c r="CC45" s="455">
        <f t="shared" si="54"/>
        <v>351619601.87425661</v>
      </c>
      <c r="CD45" s="455">
        <f t="shared" si="54"/>
        <v>351619601.87425661</v>
      </c>
      <c r="CE45" s="455">
        <f t="shared" si="54"/>
        <v>351619601.87425661</v>
      </c>
      <c r="CF45" s="455">
        <f t="shared" si="54"/>
        <v>351619601.87425661</v>
      </c>
      <c r="CG45" s="455">
        <f t="shared" si="54"/>
        <v>351619601.87425661</v>
      </c>
      <c r="CH45" s="455">
        <f t="shared" si="54"/>
        <v>351619601.87425661</v>
      </c>
      <c r="CI45" s="455">
        <f t="shared" si="54"/>
        <v>351619601.87425661</v>
      </c>
      <c r="CJ45" s="455">
        <f t="shared" si="54"/>
        <v>351619601.87425661</v>
      </c>
      <c r="CK45" s="455">
        <f t="shared" si="54"/>
        <v>351619601.87425661</v>
      </c>
      <c r="CL45" s="455">
        <f t="shared" si="54"/>
        <v>351619601.87425661</v>
      </c>
      <c r="CM45" s="455">
        <f t="shared" si="27"/>
        <v>351619601.87425625</v>
      </c>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row>
    <row r="46" spans="1:179" s="314" customFormat="1">
      <c r="A46" s="460" t="s">
        <v>329</v>
      </c>
      <c r="B46" s="180" t="s">
        <v>309</v>
      </c>
      <c r="C46" s="460" t="s">
        <v>323</v>
      </c>
      <c r="D46" s="460"/>
      <c r="E46" s="461"/>
      <c r="F46" s="375" t="s">
        <v>148</v>
      </c>
      <c r="G46" s="462">
        <f t="shared" ref="G46:BR47" si="55">G12*G2</f>
        <v>1187861432.950177</v>
      </c>
      <c r="H46" s="462">
        <f t="shared" si="55"/>
        <v>1308379560.4225862</v>
      </c>
      <c r="I46" s="462">
        <f t="shared" si="55"/>
        <v>1328242155.7992132</v>
      </c>
      <c r="J46" s="462">
        <f t="shared" si="55"/>
        <v>1307642634.1734686</v>
      </c>
      <c r="K46" s="462">
        <f t="shared" si="55"/>
        <v>1303072411.1633511</v>
      </c>
      <c r="L46" s="462">
        <f t="shared" si="55"/>
        <v>1309056759.742584</v>
      </c>
      <c r="M46" s="462">
        <f t="shared" si="55"/>
        <v>1308593090.3837047</v>
      </c>
      <c r="N46" s="462">
        <f t="shared" si="55"/>
        <v>1320770265.9944048</v>
      </c>
      <c r="O46" s="462">
        <f t="shared" si="55"/>
        <v>1268076339.1966794</v>
      </c>
      <c r="P46" s="462">
        <f t="shared" si="55"/>
        <v>1265414734.2478507</v>
      </c>
      <c r="Q46" s="462">
        <f t="shared" si="55"/>
        <v>1283774322.4332123</v>
      </c>
      <c r="R46" s="462">
        <f t="shared" si="55"/>
        <v>1293794398.6477833</v>
      </c>
      <c r="S46" s="462">
        <f t="shared" si="55"/>
        <v>1279548744.8114197</v>
      </c>
      <c r="T46" s="462">
        <f t="shared" si="55"/>
        <v>1285926372.2225499</v>
      </c>
      <c r="U46" s="462">
        <f t="shared" si="55"/>
        <v>1164536992.4845786</v>
      </c>
      <c r="V46" s="462">
        <f t="shared" si="55"/>
        <v>1176007984.3335819</v>
      </c>
      <c r="W46" s="462">
        <f t="shared" si="55"/>
        <v>1179267255.6137578</v>
      </c>
      <c r="X46" s="462">
        <f t="shared" si="55"/>
        <v>1159192157.5566237</v>
      </c>
      <c r="Y46" s="462">
        <f t="shared" si="55"/>
        <v>1045341527.0716823</v>
      </c>
      <c r="Z46" s="462">
        <f t="shared" si="55"/>
        <v>1049689995.4304533</v>
      </c>
      <c r="AA46" s="462">
        <f t="shared" si="55"/>
        <v>1051647371.7770966</v>
      </c>
      <c r="AB46" s="462">
        <f t="shared" si="55"/>
        <v>1061166205.5677003</v>
      </c>
      <c r="AC46" s="462">
        <f t="shared" si="55"/>
        <v>1058195242.275848</v>
      </c>
      <c r="AD46" s="462">
        <f t="shared" si="55"/>
        <v>1058931601.2648491</v>
      </c>
      <c r="AE46" s="462">
        <f t="shared" si="55"/>
        <v>974279237.75617158</v>
      </c>
      <c r="AF46" s="462">
        <f t="shared" si="55"/>
        <v>980893807.68054187</v>
      </c>
      <c r="AG46" s="462">
        <f t="shared" si="55"/>
        <v>984734575.77070057</v>
      </c>
      <c r="AH46" s="462">
        <f t="shared" si="55"/>
        <v>994551675.34613657</v>
      </c>
      <c r="AI46" s="462">
        <f t="shared" si="55"/>
        <v>980223221.43845165</v>
      </c>
      <c r="AJ46" s="462">
        <f t="shared" si="55"/>
        <v>962231982.71249545</v>
      </c>
      <c r="AK46" s="462">
        <f t="shared" si="55"/>
        <v>957823619.79554868</v>
      </c>
      <c r="AL46" s="462">
        <f t="shared" si="55"/>
        <v>957651029.66051292</v>
      </c>
      <c r="AM46" s="462">
        <f t="shared" si="55"/>
        <v>958945322.61603594</v>
      </c>
      <c r="AN46" s="462">
        <f t="shared" si="55"/>
        <v>955473055.41435957</v>
      </c>
      <c r="AO46" s="462">
        <f t="shared" si="55"/>
        <v>953095254.64346516</v>
      </c>
      <c r="AP46" s="462">
        <f t="shared" si="55"/>
        <v>955948784.22542202</v>
      </c>
      <c r="AQ46" s="462">
        <f t="shared" si="55"/>
        <v>1020055704.5324254</v>
      </c>
      <c r="AR46" s="462">
        <f t="shared" si="55"/>
        <v>1016645638.2968489</v>
      </c>
      <c r="AS46" s="462">
        <f t="shared" si="55"/>
        <v>1013531547.6916193</v>
      </c>
      <c r="AT46" s="462">
        <f t="shared" si="55"/>
        <v>1008312838.5937334</v>
      </c>
      <c r="AU46" s="373">
        <f t="shared" si="55"/>
        <v>1025444892.573555</v>
      </c>
      <c r="AV46" s="373">
        <f t="shared" si="55"/>
        <v>1016854788.239575</v>
      </c>
      <c r="AW46" s="373">
        <f t="shared" si="55"/>
        <v>1050138700.878641</v>
      </c>
      <c r="AX46" s="373">
        <f t="shared" si="55"/>
        <v>1064289938.6605417</v>
      </c>
      <c r="AY46" s="373">
        <f t="shared" si="55"/>
        <v>1068703710.0832888</v>
      </c>
      <c r="AZ46" s="373">
        <f t="shared" si="55"/>
        <v>1075582149.7584095</v>
      </c>
      <c r="BA46" s="373">
        <f t="shared" si="55"/>
        <v>1084324910.2395227</v>
      </c>
      <c r="BB46" s="373">
        <f t="shared" si="55"/>
        <v>1105116428.8675082</v>
      </c>
      <c r="BC46" s="373">
        <f t="shared" si="55"/>
        <v>1163417317.5703995</v>
      </c>
      <c r="BD46" s="373">
        <f t="shared" si="55"/>
        <v>1147668979.0971184</v>
      </c>
      <c r="BE46" s="373">
        <f t="shared" si="55"/>
        <v>1161313601.2483337</v>
      </c>
      <c r="BF46" s="373">
        <f t="shared" si="55"/>
        <v>1151849328.6424956</v>
      </c>
      <c r="BG46" s="373">
        <f t="shared" si="55"/>
        <v>1144080775.8426394</v>
      </c>
      <c r="BH46" s="373">
        <f t="shared" si="55"/>
        <v>1126701222.3740265</v>
      </c>
      <c r="BI46" s="373">
        <f t="shared" si="55"/>
        <v>1178002392.536885</v>
      </c>
      <c r="BJ46" s="373">
        <f t="shared" si="55"/>
        <v>1180181664.7353368</v>
      </c>
      <c r="BK46" s="373">
        <f t="shared" si="55"/>
        <v>1175599101.9739928</v>
      </c>
      <c r="BL46" s="373">
        <f t="shared" si="55"/>
        <v>1168950006.3688624</v>
      </c>
      <c r="BM46" s="373">
        <f t="shared" si="55"/>
        <v>1188322112.9733596</v>
      </c>
      <c r="BN46" s="373">
        <f t="shared" si="55"/>
        <v>1187380298.3934329</v>
      </c>
      <c r="BO46" s="373">
        <f t="shared" si="55"/>
        <v>1114075206.693377</v>
      </c>
      <c r="BP46" s="373">
        <f t="shared" si="55"/>
        <v>1122533408.750282</v>
      </c>
      <c r="BQ46" s="373">
        <f t="shared" si="55"/>
        <v>1117781341.9281595</v>
      </c>
      <c r="BR46" s="373">
        <f t="shared" si="55"/>
        <v>1113317517.3532023</v>
      </c>
      <c r="BS46" s="373">
        <f t="shared" ref="BS46:CL47" si="56">BS12*BS2</f>
        <v>1114891397.6470139</v>
      </c>
      <c r="BT46" s="373">
        <f t="shared" si="56"/>
        <v>1140094864.2204461</v>
      </c>
      <c r="BU46" s="373">
        <f t="shared" si="56"/>
        <v>1000538665.6425139</v>
      </c>
      <c r="BV46" s="373">
        <f t="shared" si="56"/>
        <v>1000137672.471808</v>
      </c>
      <c r="BW46" s="373">
        <f t="shared" si="56"/>
        <v>998783400.21768522</v>
      </c>
      <c r="BX46" s="373">
        <f t="shared" si="56"/>
        <v>991188111.16185474</v>
      </c>
      <c r="BY46" s="373">
        <f t="shared" si="56"/>
        <v>991689757.01297438</v>
      </c>
      <c r="BZ46" s="373">
        <f t="shared" si="56"/>
        <v>996685661.29757094</v>
      </c>
      <c r="CA46" s="373">
        <f t="shared" si="56"/>
        <v>890498015.36130488</v>
      </c>
      <c r="CB46" s="373">
        <f t="shared" si="56"/>
        <v>904565371.88541102</v>
      </c>
      <c r="CC46" s="373">
        <f t="shared" si="56"/>
        <v>900220351.44529295</v>
      </c>
      <c r="CD46" s="373">
        <f t="shared" si="56"/>
        <v>891970903.72537231</v>
      </c>
      <c r="CE46" s="373">
        <f t="shared" si="56"/>
        <v>896102920.84474778</v>
      </c>
      <c r="CF46" s="373">
        <f t="shared" si="56"/>
        <v>895852982.82181728</v>
      </c>
      <c r="CG46" s="373">
        <f t="shared" si="56"/>
        <v>901467146.52434897</v>
      </c>
      <c r="CH46" s="373">
        <f t="shared" si="56"/>
        <v>897634467.1527499</v>
      </c>
      <c r="CI46" s="373">
        <f t="shared" si="56"/>
        <v>904132066.89927757</v>
      </c>
      <c r="CJ46" s="373">
        <f t="shared" si="56"/>
        <v>915184370.07125449</v>
      </c>
      <c r="CK46" s="373">
        <f t="shared" si="56"/>
        <v>917769278.73198211</v>
      </c>
      <c r="CL46" s="373">
        <f t="shared" si="56"/>
        <v>921779951.78904164</v>
      </c>
      <c r="CM46" s="319">
        <f t="shared" si="27"/>
        <v>1080135047.6719887</v>
      </c>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row>
    <row r="47" spans="1:179" s="314" customFormat="1">
      <c r="A47" s="460" t="s">
        <v>329</v>
      </c>
      <c r="B47" s="180" t="s">
        <v>309</v>
      </c>
      <c r="C47" s="460" t="s">
        <v>323</v>
      </c>
      <c r="D47" s="460"/>
      <c r="E47" s="461"/>
      <c r="F47" s="375" t="s">
        <v>0</v>
      </c>
      <c r="G47" s="462">
        <f t="shared" si="55"/>
        <v>2830484380.6303673</v>
      </c>
      <c r="H47" s="462">
        <f t="shared" si="55"/>
        <v>2361304845.9057336</v>
      </c>
      <c r="I47" s="462">
        <f t="shared" si="55"/>
        <v>2165216441.5104938</v>
      </c>
      <c r="J47" s="462">
        <f t="shared" si="55"/>
        <v>1656516314.1678526</v>
      </c>
      <c r="K47" s="462">
        <f t="shared" si="55"/>
        <v>1752039224.9516256</v>
      </c>
      <c r="L47" s="462">
        <f t="shared" si="55"/>
        <v>1960738702.5596147</v>
      </c>
      <c r="M47" s="462">
        <f t="shared" si="55"/>
        <v>1810859554.1258502</v>
      </c>
      <c r="N47" s="462">
        <f t="shared" si="55"/>
        <v>1860712986.2532167</v>
      </c>
      <c r="O47" s="462">
        <f t="shared" si="55"/>
        <v>1622108005.1332667</v>
      </c>
      <c r="P47" s="462">
        <f t="shared" si="55"/>
        <v>1577487452.8681254</v>
      </c>
      <c r="Q47" s="462">
        <f t="shared" si="55"/>
        <v>1490811649.0150082</v>
      </c>
      <c r="R47" s="462">
        <f t="shared" si="55"/>
        <v>1308512583.1320984</v>
      </c>
      <c r="S47" s="462">
        <f t="shared" si="55"/>
        <v>1469737404.2807529</v>
      </c>
      <c r="T47" s="462">
        <f t="shared" si="55"/>
        <v>1639846167.403599</v>
      </c>
      <c r="U47" s="462">
        <f t="shared" si="55"/>
        <v>1920474654.8712428</v>
      </c>
      <c r="V47" s="462">
        <f t="shared" si="55"/>
        <v>1459620348.177</v>
      </c>
      <c r="W47" s="462">
        <f t="shared" si="55"/>
        <v>1218919602.9705837</v>
      </c>
      <c r="X47" s="462">
        <f t="shared" si="55"/>
        <v>1211838326.1655002</v>
      </c>
      <c r="Y47" s="462">
        <f t="shared" si="55"/>
        <v>1334789344.675</v>
      </c>
      <c r="Z47" s="462">
        <f t="shared" si="55"/>
        <v>1364430441.3900833</v>
      </c>
      <c r="AA47" s="462">
        <f t="shared" si="55"/>
        <v>1390562232.7858334</v>
      </c>
      <c r="AB47" s="462">
        <f t="shared" si="55"/>
        <v>1239035442.3903337</v>
      </c>
      <c r="AC47" s="462">
        <f t="shared" si="55"/>
        <v>1196297116.8941669</v>
      </c>
      <c r="AD47" s="462">
        <f t="shared" si="55"/>
        <v>1234774143.0740001</v>
      </c>
      <c r="AE47" s="462">
        <f t="shared" si="55"/>
        <v>1422396645.3255</v>
      </c>
      <c r="AF47" s="462">
        <f t="shared" si="55"/>
        <v>1658209429.5514171</v>
      </c>
      <c r="AG47" s="462">
        <f t="shared" si="55"/>
        <v>1614405779.2261667</v>
      </c>
      <c r="AH47" s="462">
        <f t="shared" si="55"/>
        <v>1855607853.7639167</v>
      </c>
      <c r="AI47" s="462">
        <f t="shared" si="55"/>
        <v>2138106931.9702501</v>
      </c>
      <c r="AJ47" s="462">
        <f t="shared" si="55"/>
        <v>1977305548.9450834</v>
      </c>
      <c r="AK47" s="462">
        <f t="shared" si="55"/>
        <v>1735852809.7416668</v>
      </c>
      <c r="AL47" s="462">
        <f t="shared" si="55"/>
        <v>1554246259.4661667</v>
      </c>
      <c r="AM47" s="462">
        <f t="shared" si="55"/>
        <v>1554872921.1303334</v>
      </c>
      <c r="AN47" s="462">
        <f t="shared" si="55"/>
        <v>1391314226.7828336</v>
      </c>
      <c r="AO47" s="462">
        <f t="shared" si="55"/>
        <v>1684278554.78075</v>
      </c>
      <c r="AP47" s="462">
        <f t="shared" si="55"/>
        <v>1940144512.2600002</v>
      </c>
      <c r="AQ47" s="462">
        <f t="shared" si="55"/>
        <v>2342085303.6565003</v>
      </c>
      <c r="AR47" s="462">
        <f t="shared" si="55"/>
        <v>2335881353.1812501</v>
      </c>
      <c r="AS47" s="462">
        <f t="shared" si="55"/>
        <v>2371413069.5395002</v>
      </c>
      <c r="AT47" s="462">
        <f t="shared" si="55"/>
        <v>2354367872.2741671</v>
      </c>
      <c r="AU47" s="373">
        <f t="shared" si="55"/>
        <v>2123255050.5295002</v>
      </c>
      <c r="AV47" s="373">
        <f t="shared" si="55"/>
        <v>1957252375.69175</v>
      </c>
      <c r="AW47" s="373">
        <f t="shared" si="55"/>
        <v>1958756363.6857505</v>
      </c>
      <c r="AX47" s="373">
        <f t="shared" si="55"/>
        <v>2113980457.8998337</v>
      </c>
      <c r="AY47" s="373">
        <f t="shared" si="55"/>
        <v>2383758304.3235836</v>
      </c>
      <c r="AZ47" s="373">
        <f t="shared" si="55"/>
        <v>2387706272.8078337</v>
      </c>
      <c r="BA47" s="373">
        <f t="shared" si="55"/>
        <v>2538355736.8735003</v>
      </c>
      <c r="BB47" s="373">
        <f t="shared" si="55"/>
        <v>2711126357.6842504</v>
      </c>
      <c r="BC47" s="373">
        <f t="shared" si="55"/>
        <v>3013177279.8125839</v>
      </c>
      <c r="BD47" s="373">
        <f t="shared" si="55"/>
        <v>2411018086.7148333</v>
      </c>
      <c r="BE47" s="373">
        <f t="shared" si="55"/>
        <v>1974360239.1235006</v>
      </c>
      <c r="BF47" s="373">
        <f t="shared" si="55"/>
        <v>1906994110.2255836</v>
      </c>
      <c r="BG47" s="373">
        <f t="shared" si="55"/>
        <v>1961952338.1730001</v>
      </c>
      <c r="BH47" s="373">
        <f t="shared" si="55"/>
        <v>2131401652.1636667</v>
      </c>
      <c r="BI47" s="373">
        <f t="shared" si="55"/>
        <v>2238936793.7346668</v>
      </c>
      <c r="BJ47" s="373">
        <f t="shared" si="55"/>
        <v>2295273677.3432503</v>
      </c>
      <c r="BK47" s="373">
        <f t="shared" si="55"/>
        <v>1871211729.2016668</v>
      </c>
      <c r="BL47" s="373">
        <f t="shared" si="55"/>
        <v>1617225756.7149167</v>
      </c>
      <c r="BM47" s="373">
        <f t="shared" si="55"/>
        <v>1649185501.5874169</v>
      </c>
      <c r="BN47" s="373">
        <f t="shared" si="55"/>
        <v>1558194227.9504168</v>
      </c>
      <c r="BO47" s="373">
        <f t="shared" si="55"/>
        <v>1866010437.3890836</v>
      </c>
      <c r="BP47" s="373">
        <f t="shared" si="55"/>
        <v>1929240599.3035004</v>
      </c>
      <c r="BQ47" s="373">
        <f t="shared" si="55"/>
        <v>1963017663.0020833</v>
      </c>
      <c r="BR47" s="373">
        <f t="shared" si="55"/>
        <v>2523315856.9335003</v>
      </c>
      <c r="BS47" s="373">
        <f t="shared" si="56"/>
        <v>2274280511.593667</v>
      </c>
      <c r="BT47" s="373">
        <f t="shared" si="56"/>
        <v>2016158572.1234169</v>
      </c>
      <c r="BU47" s="373">
        <f t="shared" si="56"/>
        <v>1097723237.12075</v>
      </c>
      <c r="BV47" s="373">
        <f t="shared" si="56"/>
        <v>1613904449.8948333</v>
      </c>
      <c r="BW47" s="373">
        <f t="shared" si="56"/>
        <v>1661656068.7043335</v>
      </c>
      <c r="BX47" s="373">
        <f t="shared" si="56"/>
        <v>1689417180.4269168</v>
      </c>
      <c r="BY47" s="373">
        <f t="shared" si="56"/>
        <v>1701762415.2110002</v>
      </c>
      <c r="BZ47" s="373">
        <f t="shared" si="56"/>
        <v>1680330586.2965</v>
      </c>
      <c r="CA47" s="373">
        <f t="shared" si="56"/>
        <v>1731278179.59325</v>
      </c>
      <c r="CB47" s="373">
        <f t="shared" si="56"/>
        <v>1997421388.3648334</v>
      </c>
      <c r="CC47" s="373">
        <f t="shared" si="56"/>
        <v>2074312774.5580833</v>
      </c>
      <c r="CD47" s="373">
        <f t="shared" si="56"/>
        <v>2518678560.6186671</v>
      </c>
      <c r="CE47" s="373">
        <f t="shared" si="56"/>
        <v>2767087244.2943335</v>
      </c>
      <c r="CF47" s="373">
        <f t="shared" si="56"/>
        <v>2851435904.2911673</v>
      </c>
      <c r="CG47" s="373">
        <f t="shared" si="56"/>
        <v>2614369796.7369165</v>
      </c>
      <c r="CH47" s="373">
        <f t="shared" si="56"/>
        <v>2262749936.973</v>
      </c>
      <c r="CI47" s="373">
        <f t="shared" si="56"/>
        <v>2449808443.7267504</v>
      </c>
      <c r="CJ47" s="373">
        <f t="shared" si="56"/>
        <v>2893359569.6239171</v>
      </c>
      <c r="CK47" s="373">
        <f t="shared" si="56"/>
        <v>3059048913.6295838</v>
      </c>
      <c r="CL47" s="375">
        <f t="shared" si="56"/>
        <v>3069263498.7555003</v>
      </c>
      <c r="CM47" s="319">
        <f t="shared" si="27"/>
        <v>1953766196.884927</v>
      </c>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row>
    <row r="48" spans="1:179">
      <c r="A48" s="463" t="s">
        <v>329</v>
      </c>
      <c r="B48" s="52" t="s">
        <v>309</v>
      </c>
      <c r="C48" s="362" t="s">
        <v>323</v>
      </c>
      <c r="D48" s="362"/>
      <c r="E48" s="58"/>
      <c r="F48" s="382" t="s">
        <v>304</v>
      </c>
      <c r="G48" s="464">
        <f t="shared" ref="G48:BR49" si="57">G4*G14</f>
        <v>556625585.65250707</v>
      </c>
      <c r="H48" s="464">
        <f t="shared" si="57"/>
        <v>438835527.40303999</v>
      </c>
      <c r="I48" s="464">
        <f t="shared" si="57"/>
        <v>423976503.311378</v>
      </c>
      <c r="J48" s="464">
        <f t="shared" si="57"/>
        <v>346124986.33125669</v>
      </c>
      <c r="K48" s="464">
        <f t="shared" si="57"/>
        <v>353102550.82908803</v>
      </c>
      <c r="L48" s="464">
        <f t="shared" si="57"/>
        <v>340828462.19349068</v>
      </c>
      <c r="M48" s="464">
        <f t="shared" si="57"/>
        <v>349585250.93480539</v>
      </c>
      <c r="N48" s="464">
        <f t="shared" si="57"/>
        <v>359127243.20921671</v>
      </c>
      <c r="O48" s="464">
        <f t="shared" si="57"/>
        <v>332970476.15172005</v>
      </c>
      <c r="P48" s="464">
        <f t="shared" si="57"/>
        <v>320690470.17301506</v>
      </c>
      <c r="Q48" s="464">
        <f t="shared" si="57"/>
        <v>308686908.14997339</v>
      </c>
      <c r="R48" s="464">
        <f t="shared" si="57"/>
        <v>270778857.16742402</v>
      </c>
      <c r="S48" s="464">
        <f t="shared" si="57"/>
        <v>281551870.52743602</v>
      </c>
      <c r="T48" s="464">
        <f t="shared" si="57"/>
        <v>341211434.68296802</v>
      </c>
      <c r="U48" s="464">
        <f t="shared" si="57"/>
        <v>374690484.70866168</v>
      </c>
      <c r="V48" s="464">
        <f t="shared" si="57"/>
        <v>312097333.33333337</v>
      </c>
      <c r="W48" s="464">
        <f t="shared" si="57"/>
        <v>254841333.33333334</v>
      </c>
      <c r="X48" s="464">
        <f t="shared" si="57"/>
        <v>252937333.33333334</v>
      </c>
      <c r="Y48" s="464">
        <f t="shared" si="57"/>
        <v>276159333.33333337</v>
      </c>
      <c r="Z48" s="464">
        <f t="shared" si="57"/>
        <v>301761333.33333337</v>
      </c>
      <c r="AA48" s="464">
        <f t="shared" si="57"/>
        <v>290926666.66666669</v>
      </c>
      <c r="AB48" s="464">
        <f t="shared" si="57"/>
        <v>246284666.66666669</v>
      </c>
      <c r="AC48" s="464">
        <f t="shared" si="57"/>
        <v>230248000</v>
      </c>
      <c r="AD48" s="464">
        <f t="shared" si="57"/>
        <v>253356666.66666669</v>
      </c>
      <c r="AE48" s="464">
        <f t="shared" si="57"/>
        <v>292785333.33333337</v>
      </c>
      <c r="AF48" s="464">
        <f t="shared" si="57"/>
        <v>353860666.66666669</v>
      </c>
      <c r="AG48" s="464">
        <f t="shared" si="57"/>
        <v>337518000</v>
      </c>
      <c r="AH48" s="464">
        <f t="shared" si="57"/>
        <v>399409333.33333337</v>
      </c>
      <c r="AI48" s="464">
        <f t="shared" si="57"/>
        <v>475807333.33333337</v>
      </c>
      <c r="AJ48" s="464">
        <f t="shared" si="57"/>
        <v>467522666.66666669</v>
      </c>
      <c r="AK48" s="464">
        <f t="shared" si="57"/>
        <v>374158666.66666669</v>
      </c>
      <c r="AL48" s="464">
        <f t="shared" si="57"/>
        <v>297817333.33333337</v>
      </c>
      <c r="AM48" s="464">
        <f t="shared" si="57"/>
        <v>297930666.66666669</v>
      </c>
      <c r="AN48" s="464">
        <f t="shared" si="57"/>
        <v>278426000</v>
      </c>
      <c r="AO48" s="464">
        <f t="shared" si="57"/>
        <v>348930666.66666669</v>
      </c>
      <c r="AP48" s="464">
        <f t="shared" si="57"/>
        <v>382273333.33333337</v>
      </c>
      <c r="AQ48" s="464">
        <f t="shared" si="57"/>
        <v>446873333.33333337</v>
      </c>
      <c r="AR48" s="464">
        <f t="shared" si="57"/>
        <v>445683333.33333337</v>
      </c>
      <c r="AS48" s="464">
        <f t="shared" si="57"/>
        <v>433352666.66666669</v>
      </c>
      <c r="AT48" s="464">
        <f t="shared" si="57"/>
        <v>429928480.72903568</v>
      </c>
      <c r="AU48" s="376">
        <f t="shared" si="57"/>
        <v>385079925.02018911</v>
      </c>
      <c r="AV48" s="376">
        <f t="shared" si="57"/>
        <v>358381905.97104824</v>
      </c>
      <c r="AW48" s="376">
        <f t="shared" si="57"/>
        <v>365450349.45459408</v>
      </c>
      <c r="AX48" s="376">
        <f t="shared" si="57"/>
        <v>404426627.86456275</v>
      </c>
      <c r="AY48" s="376">
        <f t="shared" si="57"/>
        <v>450271600.75166714</v>
      </c>
      <c r="AZ48" s="376">
        <f t="shared" si="57"/>
        <v>464124553.01326114</v>
      </c>
      <c r="BA48" s="376">
        <f t="shared" si="57"/>
        <v>490336763.18999994</v>
      </c>
      <c r="BB48" s="376">
        <f t="shared" si="57"/>
        <v>543865990.58020711</v>
      </c>
      <c r="BC48" s="376">
        <f t="shared" si="57"/>
        <v>571576013.79636884</v>
      </c>
      <c r="BD48" s="376">
        <f t="shared" si="57"/>
        <v>447972006.50337148</v>
      </c>
      <c r="BE48" s="376">
        <f t="shared" si="57"/>
        <v>348009572.91704518</v>
      </c>
      <c r="BF48" s="376">
        <f t="shared" si="57"/>
        <v>352653624.82164407</v>
      </c>
      <c r="BG48" s="376">
        <f t="shared" si="57"/>
        <v>396779623.7170344</v>
      </c>
      <c r="BH48" s="376">
        <f t="shared" si="57"/>
        <v>428264388.52257901</v>
      </c>
      <c r="BI48" s="376">
        <f t="shared" si="57"/>
        <v>440493304.01240301</v>
      </c>
      <c r="BJ48" s="376">
        <f t="shared" si="57"/>
        <v>438353684.37427515</v>
      </c>
      <c r="BK48" s="376">
        <f t="shared" si="57"/>
        <v>341574302.39495516</v>
      </c>
      <c r="BL48" s="376">
        <f t="shared" si="57"/>
        <v>289550906.34884405</v>
      </c>
      <c r="BM48" s="376">
        <f t="shared" si="57"/>
        <v>303289587.04156291</v>
      </c>
      <c r="BN48" s="376">
        <f t="shared" si="57"/>
        <v>304560622.44171983</v>
      </c>
      <c r="BO48" s="376">
        <f t="shared" si="57"/>
        <v>366278522.67173648</v>
      </c>
      <c r="BP48" s="376">
        <f t="shared" si="57"/>
        <v>376871752.68364006</v>
      </c>
      <c r="BQ48" s="376">
        <f t="shared" si="57"/>
        <v>383983297.46523815</v>
      </c>
      <c r="BR48" s="376">
        <f t="shared" si="57"/>
        <v>498839665.80887091</v>
      </c>
      <c r="BS48" s="376">
        <f t="shared" ref="BS48:CL49" si="58">BS4*BS14</f>
        <v>462136776.70313042</v>
      </c>
      <c r="BT48" s="376">
        <f t="shared" si="58"/>
        <v>422339719.04686475</v>
      </c>
      <c r="BU48" s="376">
        <f t="shared" si="58"/>
        <v>216757577.51937988</v>
      </c>
      <c r="BV48" s="376">
        <f t="shared" si="58"/>
        <v>304911337</v>
      </c>
      <c r="BW48" s="376">
        <f t="shared" si="58"/>
        <v>296476164.95898461</v>
      </c>
      <c r="BX48" s="376">
        <f t="shared" si="58"/>
        <v>302313693.91750538</v>
      </c>
      <c r="BY48" s="376">
        <f t="shared" si="58"/>
        <v>305445491.78158271</v>
      </c>
      <c r="BZ48" s="376">
        <f t="shared" si="58"/>
        <v>309317829.16913664</v>
      </c>
      <c r="CA48" s="376">
        <f t="shared" si="58"/>
        <v>331013338.95160294</v>
      </c>
      <c r="CB48" s="376">
        <f t="shared" si="58"/>
        <v>387430433.51402414</v>
      </c>
      <c r="CC48" s="376">
        <f t="shared" si="58"/>
        <v>401306632.7953257</v>
      </c>
      <c r="CD48" s="376">
        <f t="shared" si="58"/>
        <v>459550694.32154572</v>
      </c>
      <c r="CE48" s="376">
        <f t="shared" si="58"/>
        <v>504916903.97234732</v>
      </c>
      <c r="CF48" s="376">
        <f t="shared" si="58"/>
        <v>513723584.20511931</v>
      </c>
      <c r="CG48" s="376">
        <f t="shared" si="58"/>
        <v>468121623.78720415</v>
      </c>
      <c r="CH48" s="376">
        <f t="shared" si="58"/>
        <v>413099474.54769146</v>
      </c>
      <c r="CI48" s="376">
        <f t="shared" si="58"/>
        <v>458131228.0794524</v>
      </c>
      <c r="CJ48" s="376">
        <f t="shared" si="58"/>
        <v>547141941.14295363</v>
      </c>
      <c r="CK48" s="376">
        <f t="shared" si="58"/>
        <v>575501124.98956645</v>
      </c>
      <c r="CL48" s="382">
        <f t="shared" si="58"/>
        <v>579275174.2837553</v>
      </c>
      <c r="CM48" s="319">
        <f t="shared" si="27"/>
        <v>379637814.62153572</v>
      </c>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c r="EU48" s="58"/>
      <c r="EV48" s="58"/>
      <c r="EW48" s="58"/>
      <c r="EX48" s="58"/>
      <c r="EY48" s="58"/>
      <c r="EZ48" s="58"/>
      <c r="FA48" s="58"/>
      <c r="FB48" s="58"/>
      <c r="FC48" s="58"/>
      <c r="FD48" s="58"/>
      <c r="FE48" s="58"/>
      <c r="FF48" s="58"/>
      <c r="FG48" s="58"/>
      <c r="FH48" s="58"/>
      <c r="FI48" s="58"/>
      <c r="FJ48" s="58"/>
      <c r="FK48" s="58"/>
      <c r="FL48" s="58"/>
      <c r="FM48" s="58"/>
      <c r="FN48" s="58"/>
      <c r="FO48" s="58"/>
      <c r="FP48" s="58"/>
      <c r="FQ48" s="58"/>
      <c r="FR48" s="58"/>
      <c r="FS48" s="58"/>
      <c r="FT48" s="58"/>
      <c r="FU48" s="58"/>
      <c r="FV48" s="58"/>
    </row>
    <row r="49" spans="1:178">
      <c r="A49" s="463" t="s">
        <v>329</v>
      </c>
      <c r="B49" s="52" t="s">
        <v>309</v>
      </c>
      <c r="C49" s="362" t="s">
        <v>323</v>
      </c>
      <c r="D49" s="362"/>
      <c r="E49" s="58"/>
      <c r="F49" s="382" t="s">
        <v>1</v>
      </c>
      <c r="G49" s="464">
        <f t="shared" si="57"/>
        <v>5852547153.5595789</v>
      </c>
      <c r="H49" s="464">
        <f t="shared" si="57"/>
        <v>5256654758.0604677</v>
      </c>
      <c r="I49" s="464">
        <f t="shared" si="57"/>
        <v>4189296422.8536434</v>
      </c>
      <c r="J49" s="464">
        <f t="shared" si="57"/>
        <v>3293202838.7486944</v>
      </c>
      <c r="K49" s="464">
        <f t="shared" si="57"/>
        <v>4209100434.1477904</v>
      </c>
      <c r="L49" s="464">
        <f t="shared" si="57"/>
        <v>4208776932.9360337</v>
      </c>
      <c r="M49" s="464">
        <f t="shared" si="57"/>
        <v>4442958051.6798229</v>
      </c>
      <c r="N49" s="464">
        <f t="shared" si="57"/>
        <v>4720051796.2688379</v>
      </c>
      <c r="O49" s="464">
        <f t="shared" si="57"/>
        <v>4588486554.8710232</v>
      </c>
      <c r="P49" s="464">
        <f t="shared" si="57"/>
        <v>3934640286.3552952</v>
      </c>
      <c r="Q49" s="464">
        <f t="shared" si="57"/>
        <v>3493505873.9285192</v>
      </c>
      <c r="R49" s="464">
        <f t="shared" si="57"/>
        <v>3720350082.648941</v>
      </c>
      <c r="S49" s="464">
        <f t="shared" si="57"/>
        <v>3870127942.5554514</v>
      </c>
      <c r="T49" s="464">
        <f t="shared" si="57"/>
        <v>3905979905.5537162</v>
      </c>
      <c r="U49" s="464">
        <f t="shared" si="57"/>
        <v>3609565099.0045414</v>
      </c>
      <c r="V49" s="464">
        <f t="shared" si="57"/>
        <v>2932649462.5474997</v>
      </c>
      <c r="W49" s="464">
        <f t="shared" si="57"/>
        <v>2788081429.8677635</v>
      </c>
      <c r="X49" s="464">
        <f t="shared" si="57"/>
        <v>3117798201.6880679</v>
      </c>
      <c r="Y49" s="464">
        <f t="shared" si="57"/>
        <v>3406299184.3880954</v>
      </c>
      <c r="Z49" s="464">
        <f t="shared" si="57"/>
        <v>3574308958.48</v>
      </c>
      <c r="AA49" s="464">
        <f t="shared" si="57"/>
        <v>3705192953.8275571</v>
      </c>
      <c r="AB49" s="464">
        <f t="shared" si="57"/>
        <v>3369864508.75</v>
      </c>
      <c r="AC49" s="464">
        <f t="shared" si="57"/>
        <v>3203917279.3772726</v>
      </c>
      <c r="AD49" s="464">
        <f t="shared" si="57"/>
        <v>3427851840.1687508</v>
      </c>
      <c r="AE49" s="464">
        <f t="shared" si="57"/>
        <v>3844011595.2192864</v>
      </c>
      <c r="AF49" s="464">
        <f t="shared" si="57"/>
        <v>3840678853.8602276</v>
      </c>
      <c r="AG49" s="464">
        <f t="shared" si="57"/>
        <v>4218548626.1854162</v>
      </c>
      <c r="AH49" s="464">
        <f t="shared" si="57"/>
        <v>4553076472.6824999</v>
      </c>
      <c r="AI49" s="464">
        <f t="shared" si="57"/>
        <v>4557051471.734375</v>
      </c>
      <c r="AJ49" s="464">
        <f t="shared" si="57"/>
        <v>4018708497.09375</v>
      </c>
      <c r="AK49" s="464">
        <f t="shared" si="57"/>
        <v>4062841020.6328955</v>
      </c>
      <c r="AL49" s="464">
        <f t="shared" si="57"/>
        <v>3780814614.5437498</v>
      </c>
      <c r="AM49" s="464">
        <f t="shared" si="57"/>
        <v>3492519918.4419646</v>
      </c>
      <c r="AN49" s="464">
        <f t="shared" si="57"/>
        <v>3564691985.9609528</v>
      </c>
      <c r="AO49" s="464">
        <f t="shared" si="57"/>
        <v>3890549398.1306815</v>
      </c>
      <c r="AP49" s="464">
        <f t="shared" si="57"/>
        <v>4296252800</v>
      </c>
      <c r="AQ49" s="464">
        <f t="shared" si="57"/>
        <v>4526341678.014286</v>
      </c>
      <c r="AR49" s="464">
        <f t="shared" si="57"/>
        <v>5047920262.752841</v>
      </c>
      <c r="AS49" s="464">
        <f t="shared" si="57"/>
        <v>5022387416.6000004</v>
      </c>
      <c r="AT49" s="464">
        <f t="shared" si="57"/>
        <v>5102385931.15909</v>
      </c>
      <c r="AU49" s="376">
        <f t="shared" si="57"/>
        <v>4771827378.1315794</v>
      </c>
      <c r="AV49" s="376">
        <f t="shared" si="57"/>
        <v>4926770904.3392859</v>
      </c>
      <c r="AW49" s="376">
        <f t="shared" si="57"/>
        <v>5287781108.4678564</v>
      </c>
      <c r="AX49" s="376">
        <f t="shared" si="57"/>
        <v>6043677177.2098227</v>
      </c>
      <c r="AY49" s="376">
        <f t="shared" si="57"/>
        <v>5776562633.25</v>
      </c>
      <c r="AZ49" s="376">
        <f t="shared" si="57"/>
        <v>5970060232.0136356</v>
      </c>
      <c r="BA49" s="376">
        <f t="shared" si="57"/>
        <v>6069292232.093749</v>
      </c>
      <c r="BB49" s="376">
        <f t="shared" si="57"/>
        <v>6564931755.3249998</v>
      </c>
      <c r="BC49" s="376">
        <f t="shared" si="57"/>
        <v>6611590790.555706</v>
      </c>
      <c r="BD49" s="376">
        <f t="shared" si="57"/>
        <v>4885439473.5744047</v>
      </c>
      <c r="BE49" s="376">
        <f t="shared" si="57"/>
        <v>4336037607.8877773</v>
      </c>
      <c r="BF49" s="376">
        <f t="shared" si="57"/>
        <v>4360161083.2477274</v>
      </c>
      <c r="BG49" s="376">
        <f t="shared" si="57"/>
        <v>4828793345.9305563</v>
      </c>
      <c r="BH49" s="376">
        <f t="shared" si="57"/>
        <v>5023688023.750001</v>
      </c>
      <c r="BI49" s="376">
        <f t="shared" si="57"/>
        <v>5337967108.2464285</v>
      </c>
      <c r="BJ49" s="376">
        <f t="shared" si="57"/>
        <v>5060014853.3392868</v>
      </c>
      <c r="BK49" s="376">
        <f t="shared" si="57"/>
        <v>4319551563.1876316</v>
      </c>
      <c r="BL49" s="376">
        <f t="shared" si="57"/>
        <v>4638803906.25</v>
      </c>
      <c r="BM49" s="376">
        <f t="shared" si="57"/>
        <v>4329827523.421875</v>
      </c>
      <c r="BN49" s="376">
        <f t="shared" si="57"/>
        <v>4625258746.559762</v>
      </c>
      <c r="BO49" s="376">
        <f t="shared" si="57"/>
        <v>4715692399.0715904</v>
      </c>
      <c r="BP49" s="376">
        <f t="shared" si="57"/>
        <v>5037476043.7973213</v>
      </c>
      <c r="BQ49" s="376">
        <f t="shared" si="57"/>
        <v>5301504775.7342844</v>
      </c>
      <c r="BR49" s="376">
        <f t="shared" si="57"/>
        <v>5136924313.3440475</v>
      </c>
      <c r="BS49" s="376">
        <f t="shared" si="58"/>
        <v>4529696724.3499994</v>
      </c>
      <c r="BT49" s="376">
        <f t="shared" si="58"/>
        <v>2590443136.7136364</v>
      </c>
      <c r="BU49" s="376">
        <f t="shared" si="58"/>
        <v>1181789420.045238</v>
      </c>
      <c r="BV49" s="376">
        <f t="shared" si="58"/>
        <v>2087128550.0166664</v>
      </c>
      <c r="BW49" s="376">
        <f t="shared" si="58"/>
        <v>3582099490.3062496</v>
      </c>
      <c r="BX49" s="376">
        <f t="shared" si="58"/>
        <v>3938603475.1999998</v>
      </c>
      <c r="BY49" s="376">
        <f t="shared" si="58"/>
        <v>3849209748.3587499</v>
      </c>
      <c r="BZ49" s="376">
        <f t="shared" si="58"/>
        <v>3830152866.7227263</v>
      </c>
      <c r="CA49" s="376">
        <f t="shared" si="58"/>
        <v>3777429504.9801135</v>
      </c>
      <c r="CB49" s="376">
        <f t="shared" si="58"/>
        <v>3693559049.5749998</v>
      </c>
      <c r="CC49" s="376">
        <f t="shared" si="58"/>
        <v>4272561480.8624997</v>
      </c>
      <c r="CD49" s="376">
        <f t="shared" si="58"/>
        <v>4994221737.1262503</v>
      </c>
      <c r="CE49" s="376">
        <f t="shared" si="58"/>
        <v>5501110714.5164471</v>
      </c>
      <c r="CF49" s="376">
        <f t="shared" si="58"/>
        <v>5736648966.9285336</v>
      </c>
      <c r="CG49" s="376">
        <f t="shared" si="58"/>
        <v>5610271571.7821436</v>
      </c>
      <c r="CH49" s="376">
        <f t="shared" si="58"/>
        <v>5849413947.4813166</v>
      </c>
      <c r="CI49" s="376">
        <f t="shared" si="58"/>
        <v>6336468531.3653412</v>
      </c>
      <c r="CJ49" s="376">
        <f t="shared" si="58"/>
        <v>6806509055.631546</v>
      </c>
      <c r="CK49" s="376">
        <f t="shared" si="58"/>
        <v>6340797464.6099987</v>
      </c>
      <c r="CL49" s="382">
        <f t="shared" si="58"/>
        <v>6691929482.0008516</v>
      </c>
      <c r="CM49" s="319">
        <f t="shared" si="27"/>
        <v>4473805576.1021662</v>
      </c>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490"/>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c r="FP49" s="58"/>
      <c r="FQ49" s="58"/>
      <c r="FR49" s="58"/>
      <c r="FS49" s="58"/>
      <c r="FT49" s="58"/>
      <c r="FU49" s="58"/>
      <c r="FV49" s="58"/>
    </row>
    <row r="50" spans="1:178">
      <c r="A50" s="463" t="s">
        <v>330</v>
      </c>
      <c r="B50" s="52" t="s">
        <v>309</v>
      </c>
      <c r="C50" s="362" t="s">
        <v>323</v>
      </c>
      <c r="D50" s="362"/>
      <c r="E50" s="58"/>
      <c r="F50" s="382" t="s">
        <v>331</v>
      </c>
      <c r="G50" s="464">
        <f t="shared" ref="G50:AL50" si="59">G46*$CO$4+G47*$CP$4+G48*$CQ$4+G49*$CR$4</f>
        <v>7006551035.1506929</v>
      </c>
      <c r="H50" s="464">
        <f t="shared" si="59"/>
        <v>6377398155.3529644</v>
      </c>
      <c r="I50" s="464">
        <f t="shared" si="59"/>
        <v>5593762183.470541</v>
      </c>
      <c r="J50" s="464">
        <f t="shared" si="59"/>
        <v>4635083504.7420807</v>
      </c>
      <c r="K50" s="464">
        <f t="shared" si="59"/>
        <v>5268700323.2597733</v>
      </c>
      <c r="L50" s="464">
        <f t="shared" si="59"/>
        <v>5404450096.8097115</v>
      </c>
      <c r="M50" s="464">
        <f t="shared" si="59"/>
        <v>5456647612.6326838</v>
      </c>
      <c r="N50" s="464">
        <f t="shared" si="59"/>
        <v>5679809213.950901</v>
      </c>
      <c r="O50" s="464">
        <f t="shared" si="59"/>
        <v>5373741216.4282341</v>
      </c>
      <c r="P50" s="464">
        <f t="shared" si="59"/>
        <v>4926822803.1692448</v>
      </c>
      <c r="Q50" s="464">
        <f t="shared" si="59"/>
        <v>4605881812.1556902</v>
      </c>
      <c r="R50" s="464">
        <f t="shared" si="59"/>
        <v>4615539129.9936237</v>
      </c>
      <c r="S50" s="464">
        <f t="shared" si="59"/>
        <v>4807078542.4296198</v>
      </c>
      <c r="T50" s="464">
        <f t="shared" si="59"/>
        <v>4982068634.8306179</v>
      </c>
      <c r="U50" s="464">
        <f t="shared" si="59"/>
        <v>4881039266.756916</v>
      </c>
      <c r="V50" s="464">
        <f t="shared" si="59"/>
        <v>4131039227.287756</v>
      </c>
      <c r="W50" s="464">
        <f t="shared" si="59"/>
        <v>3852757354.5108471</v>
      </c>
      <c r="X50" s="464">
        <f t="shared" si="59"/>
        <v>4032839679.5112543</v>
      </c>
      <c r="Y50" s="464">
        <f t="shared" si="59"/>
        <v>4194563069.3864307</v>
      </c>
      <c r="Z50" s="464">
        <f t="shared" si="59"/>
        <v>4337961210.6075306</v>
      </c>
      <c r="AA50" s="464">
        <f t="shared" si="59"/>
        <v>4432437660.4458656</v>
      </c>
      <c r="AB50" s="464">
        <f t="shared" si="59"/>
        <v>4107249953.4772372</v>
      </c>
      <c r="AC50" s="464">
        <f t="shared" si="59"/>
        <v>3963430372.6986217</v>
      </c>
      <c r="AD50" s="464">
        <f t="shared" si="59"/>
        <v>4142507740.3025107</v>
      </c>
      <c r="AE50" s="464">
        <f t="shared" si="59"/>
        <v>4464590024.4499273</v>
      </c>
      <c r="AF50" s="464">
        <f t="shared" si="59"/>
        <v>4659368088.0545483</v>
      </c>
      <c r="AG50" s="464">
        <f t="shared" si="59"/>
        <v>4860624022.0895977</v>
      </c>
      <c r="AH50" s="464">
        <f t="shared" si="59"/>
        <v>5273331229.2236881</v>
      </c>
      <c r="AI50" s="464">
        <f t="shared" si="59"/>
        <v>5491527611.3084793</v>
      </c>
      <c r="AJ50" s="464">
        <f t="shared" si="59"/>
        <v>5027478785.0496635</v>
      </c>
      <c r="AK50" s="464">
        <f t="shared" si="59"/>
        <v>4837930809.4461746</v>
      </c>
      <c r="AL50" s="464">
        <f t="shared" si="59"/>
        <v>4498298332.9682751</v>
      </c>
      <c r="AM50" s="464">
        <f t="shared" ref="AM50:BR50" si="60">AM46*$CO$4+AM47*$CP$4+AM48*$CQ$4+AM49*$CR$4</f>
        <v>4320221503.4688873</v>
      </c>
      <c r="AN50" s="464">
        <f t="shared" si="60"/>
        <v>4243037080.9263463</v>
      </c>
      <c r="AO50" s="464">
        <f t="shared" si="60"/>
        <v>4677289717.9619875</v>
      </c>
      <c r="AP50" s="464">
        <f t="shared" si="60"/>
        <v>5120623351.2803822</v>
      </c>
      <c r="AQ50" s="464">
        <f t="shared" si="60"/>
        <v>5629015645.1659203</v>
      </c>
      <c r="AR50" s="464">
        <f t="shared" si="60"/>
        <v>5946231998.9258804</v>
      </c>
      <c r="AS50" s="464">
        <f t="shared" si="60"/>
        <v>5943439112.4970551</v>
      </c>
      <c r="AT50" s="464">
        <f t="shared" si="60"/>
        <v>5975001333.8655548</v>
      </c>
      <c r="AU50" s="376">
        <f t="shared" si="60"/>
        <v>5607891515.8874626</v>
      </c>
      <c r="AV50" s="376">
        <f t="shared" si="60"/>
        <v>5571511619.4068546</v>
      </c>
      <c r="AW50" s="376">
        <f t="shared" si="60"/>
        <v>5834666663.1049995</v>
      </c>
      <c r="AX50" s="376">
        <f t="shared" si="60"/>
        <v>6444731139.5857592</v>
      </c>
      <c r="AY50" s="376">
        <f t="shared" si="60"/>
        <v>6486294986.2150116</v>
      </c>
      <c r="AZ50" s="376">
        <f t="shared" si="60"/>
        <v>6624405319.2080441</v>
      </c>
      <c r="BA50" s="376">
        <f t="shared" si="60"/>
        <v>6809115557.9348173</v>
      </c>
      <c r="BB50" s="376">
        <f t="shared" si="60"/>
        <v>7283353013.7573195</v>
      </c>
      <c r="BC50" s="376">
        <f t="shared" si="60"/>
        <v>7584589784.3203583</v>
      </c>
      <c r="BD50" s="376">
        <f t="shared" si="60"/>
        <v>6025024795.259613</v>
      </c>
      <c r="BE50" s="376">
        <f t="shared" si="60"/>
        <v>5350978634.1445007</v>
      </c>
      <c r="BF50" s="376">
        <f t="shared" si="60"/>
        <v>5315095662.0307465</v>
      </c>
      <c r="BG50" s="376">
        <f t="shared" si="60"/>
        <v>5661406962.5665169</v>
      </c>
      <c r="BH50" s="376">
        <f t="shared" si="60"/>
        <v>5895388958.2288532</v>
      </c>
      <c r="BI50" s="376">
        <f t="shared" si="60"/>
        <v>6219859424.8097191</v>
      </c>
      <c r="BJ50" s="376">
        <f t="shared" si="60"/>
        <v>6084413570.6859541</v>
      </c>
      <c r="BK50" s="376">
        <f t="shared" si="60"/>
        <v>5283299338.3492012</v>
      </c>
      <c r="BL50" s="376">
        <f t="shared" si="60"/>
        <v>5278850238.2126064</v>
      </c>
      <c r="BM50" s="376">
        <f t="shared" si="60"/>
        <v>5134211230.9814167</v>
      </c>
      <c r="BN50" s="376">
        <f t="shared" si="60"/>
        <v>5258506944.2660789</v>
      </c>
      <c r="BO50" s="376">
        <f t="shared" si="60"/>
        <v>5480506541.07798</v>
      </c>
      <c r="BP50" s="376">
        <f t="shared" si="60"/>
        <v>5737269750.3319054</v>
      </c>
      <c r="BQ50" s="376">
        <f t="shared" si="60"/>
        <v>5923584788.6373196</v>
      </c>
      <c r="BR50" s="376">
        <f t="shared" si="60"/>
        <v>6251204216.5577068</v>
      </c>
      <c r="BS50" s="376">
        <f t="shared" ref="BS50:CL50" si="61">BS46*$CO$4+BS47*$CP$4+BS48*$CQ$4+BS49*$CR$4</f>
        <v>5689080851.5838594</v>
      </c>
      <c r="BT50" s="376">
        <f t="shared" si="61"/>
        <v>4311646417.4515533</v>
      </c>
      <c r="BU50" s="376">
        <f t="shared" si="61"/>
        <v>2572514782.0109997</v>
      </c>
      <c r="BV50" s="376">
        <f t="shared" si="61"/>
        <v>3527093764.3329639</v>
      </c>
      <c r="BW50" s="376">
        <f t="shared" si="61"/>
        <v>4484787402.4973068</v>
      </c>
      <c r="BX50" s="376">
        <f t="shared" si="61"/>
        <v>4721286914.5966606</v>
      </c>
      <c r="BY50" s="376">
        <f t="shared" si="61"/>
        <v>4675946076.7219458</v>
      </c>
      <c r="BZ50" s="376">
        <f t="shared" si="61"/>
        <v>4657152562.068018</v>
      </c>
      <c r="CA50" s="376">
        <f t="shared" si="61"/>
        <v>4565396823.7046413</v>
      </c>
      <c r="CB50" s="376">
        <f t="shared" si="61"/>
        <v>4734534477.7836227</v>
      </c>
      <c r="CC50" s="376">
        <f t="shared" si="61"/>
        <v>5149975128.4935312</v>
      </c>
      <c r="CD50" s="376">
        <f t="shared" si="61"/>
        <v>5917715564.5781593</v>
      </c>
      <c r="CE50" s="376">
        <f t="shared" si="61"/>
        <v>6427490494.2528973</v>
      </c>
      <c r="CF50" s="376">
        <f t="shared" si="61"/>
        <v>6634695737.2522888</v>
      </c>
      <c r="CG50" s="376">
        <f t="shared" si="61"/>
        <v>6379222922.7943993</v>
      </c>
      <c r="CH50" s="376">
        <f t="shared" si="61"/>
        <v>6261689644.5172596</v>
      </c>
      <c r="CI50" s="376">
        <f t="shared" si="61"/>
        <v>6720919861.5530643</v>
      </c>
      <c r="CJ50" s="376">
        <f t="shared" si="61"/>
        <v>7368050642.9051895</v>
      </c>
      <c r="CK50" s="376">
        <f t="shared" si="61"/>
        <v>7205402094.8921471</v>
      </c>
      <c r="CL50" s="382">
        <f t="shared" si="61"/>
        <v>7437291582.5988436</v>
      </c>
      <c r="CM50" s="319">
        <f t="shared" si="27"/>
        <v>5361493129.1451616</v>
      </c>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row>
    <row r="51" spans="1:178">
      <c r="A51" s="463" t="s">
        <v>332</v>
      </c>
      <c r="B51" s="52" t="s">
        <v>309</v>
      </c>
      <c r="C51" s="362" t="s">
        <v>323</v>
      </c>
      <c r="D51" s="362"/>
      <c r="E51" s="58"/>
      <c r="F51" s="382" t="s">
        <v>333</v>
      </c>
      <c r="G51" s="464">
        <f t="shared" ref="G51:AL51" si="62">$CO$5*G46+G47*$CP$5+G48*$CQ$5+G49*$CR$5</f>
        <v>3420967517.6419373</v>
      </c>
      <c r="H51" s="464">
        <f t="shared" si="62"/>
        <v>2987776536.4388628</v>
      </c>
      <c r="I51" s="464">
        <f t="shared" si="62"/>
        <v>2512969340.0041871</v>
      </c>
      <c r="J51" s="464">
        <f t="shared" si="62"/>
        <v>1968403268.6791909</v>
      </c>
      <c r="K51" s="464">
        <f t="shared" si="62"/>
        <v>2348614297.8320823</v>
      </c>
      <c r="L51" s="464">
        <f t="shared" si="62"/>
        <v>2414950760.6220107</v>
      </c>
      <c r="M51" s="464">
        <f t="shared" si="62"/>
        <v>2455348334.4914989</v>
      </c>
      <c r="N51" s="464">
        <f t="shared" si="62"/>
        <v>2580853077.7747755</v>
      </c>
      <c r="O51" s="464">
        <f t="shared" si="62"/>
        <v>2437900158.9244547</v>
      </c>
      <c r="P51" s="464">
        <f t="shared" si="62"/>
        <v>2171410140.4750419</v>
      </c>
      <c r="Q51" s="464">
        <f t="shared" si="62"/>
        <v>1970896941.3710227</v>
      </c>
      <c r="R51" s="464">
        <f t="shared" si="62"/>
        <v>1977896791.6026239</v>
      </c>
      <c r="S51" s="464">
        <f t="shared" si="62"/>
        <v>2093887419.7454405</v>
      </c>
      <c r="T51" s="464">
        <f t="shared" si="62"/>
        <v>2190895245.0322142</v>
      </c>
      <c r="U51" s="464">
        <f t="shared" si="62"/>
        <v>2188227964.3121085</v>
      </c>
      <c r="V51" s="464">
        <f t="shared" si="62"/>
        <v>1749335901.1036596</v>
      </c>
      <c r="W51" s="464">
        <f t="shared" si="62"/>
        <v>1588352267.274591</v>
      </c>
      <c r="X51" s="464">
        <f t="shared" si="62"/>
        <v>1708926339.2322707</v>
      </c>
      <c r="Y51" s="464">
        <f t="shared" si="62"/>
        <v>1868026320.0816803</v>
      </c>
      <c r="Z51" s="464">
        <f t="shared" si="62"/>
        <v>1952229518.02634</v>
      </c>
      <c r="AA51" s="464">
        <f t="shared" si="62"/>
        <v>2005891564.6112881</v>
      </c>
      <c r="AB51" s="464">
        <f t="shared" si="62"/>
        <v>1809100869.8974633</v>
      </c>
      <c r="AC51" s="464">
        <f t="shared" si="62"/>
        <v>1725227265.8486662</v>
      </c>
      <c r="AD51" s="464">
        <f t="shared" si="62"/>
        <v>1832406510.8717561</v>
      </c>
      <c r="AE51" s="464">
        <f t="shared" si="62"/>
        <v>2068882787.1843646</v>
      </c>
      <c r="AF51" s="464">
        <f t="shared" si="62"/>
        <v>2174274669.7043052</v>
      </c>
      <c r="AG51" s="464">
        <f t="shared" si="62"/>
        <v>2294582959.0926857</v>
      </c>
      <c r="AH51" s="464">
        <f t="shared" si="62"/>
        <v>2529314105.9021983</v>
      </c>
      <c r="AI51" s="464">
        <f t="shared" si="62"/>
        <v>2659661347.1679306</v>
      </c>
      <c r="AJ51" s="464">
        <f t="shared" si="62"/>
        <v>2398289910.3683319</v>
      </c>
      <c r="AK51" s="464">
        <f t="shared" si="62"/>
        <v>2292745307.3906031</v>
      </c>
      <c r="AL51" s="464">
        <f t="shared" si="62"/>
        <v>2092230904.0354872</v>
      </c>
      <c r="AM51" s="464">
        <f t="shared" ref="AM51:BR51" si="63">$CO$5*AM46+AM47*$CP$5+AM48*$CQ$5+AM49*$CR$5</f>
        <v>1984047325.3861136</v>
      </c>
      <c r="AN51" s="464">
        <f t="shared" si="63"/>
        <v>1946868187.2317996</v>
      </c>
      <c r="AO51" s="464">
        <f t="shared" si="63"/>
        <v>2199564156.2595758</v>
      </c>
      <c r="AP51" s="464">
        <f t="shared" si="63"/>
        <v>2453996078.5383739</v>
      </c>
      <c r="AQ51" s="464">
        <f t="shared" si="63"/>
        <v>2706340374.370626</v>
      </c>
      <c r="AR51" s="464">
        <f t="shared" si="63"/>
        <v>2899898588.6383934</v>
      </c>
      <c r="AS51" s="464">
        <f t="shared" si="63"/>
        <v>2897245588.0007319</v>
      </c>
      <c r="AT51" s="464">
        <f t="shared" si="63"/>
        <v>2919993788.8904715</v>
      </c>
      <c r="AU51" s="376">
        <f t="shared" si="63"/>
        <v>2697715730.3673611</v>
      </c>
      <c r="AV51" s="376">
        <f t="shared" si="63"/>
        <v>2687748354.8348036</v>
      </c>
      <c r="AW51" s="376">
        <f t="shared" si="63"/>
        <v>2827459859.3818431</v>
      </c>
      <c r="AX51" s="376">
        <f t="shared" si="63"/>
        <v>3181643062.0490017</v>
      </c>
      <c r="AY51" s="376">
        <f t="shared" si="63"/>
        <v>3193001262.1935287</v>
      </c>
      <c r="AZ51" s="376">
        <f t="shared" si="63"/>
        <v>3273067888.3850961</v>
      </c>
      <c r="BA51" s="376">
        <f t="shared" si="63"/>
        <v>3373194084.4619546</v>
      </c>
      <c r="BB51" s="376">
        <f t="shared" si="63"/>
        <v>3641687518.699646</v>
      </c>
      <c r="BC51" s="376">
        <f t="shared" si="63"/>
        <v>3775171617.4146996</v>
      </c>
      <c r="BD51" s="376">
        <f t="shared" si="63"/>
        <v>2867073750.630115</v>
      </c>
      <c r="BE51" s="376">
        <f t="shared" si="63"/>
        <v>2468742387.032156</v>
      </c>
      <c r="BF51" s="376">
        <f t="shared" si="63"/>
        <v>2456562484.9067044</v>
      </c>
      <c r="BG51" s="376">
        <f t="shared" si="63"/>
        <v>2670199121.0967131</v>
      </c>
      <c r="BH51" s="376">
        <f t="shared" si="63"/>
        <v>2814666328.5814195</v>
      </c>
      <c r="BI51" s="376">
        <f t="shared" si="63"/>
        <v>2975540173.720665</v>
      </c>
      <c r="BJ51" s="376">
        <f t="shared" si="63"/>
        <v>2889410309.106195</v>
      </c>
      <c r="BK51" s="376">
        <f t="shared" si="63"/>
        <v>2424637358.4090452</v>
      </c>
      <c r="BL51" s="376">
        <f t="shared" si="63"/>
        <v>2435680337.4700174</v>
      </c>
      <c r="BM51" s="376">
        <f t="shared" si="63"/>
        <v>2336413494.0427976</v>
      </c>
      <c r="BN51" s="376">
        <f t="shared" si="63"/>
        <v>2416886951.0792532</v>
      </c>
      <c r="BO51" s="376">
        <f t="shared" si="63"/>
        <v>2581550024.7478075</v>
      </c>
      <c r="BP51" s="376">
        <f t="shared" si="63"/>
        <v>2728852054.2028379</v>
      </c>
      <c r="BQ51" s="376">
        <f t="shared" si="63"/>
        <v>2842702289.492445</v>
      </c>
      <c r="BR51" s="376">
        <f t="shared" si="63"/>
        <v>3021193136.8819141</v>
      </c>
      <c r="BS51" s="376">
        <f t="shared" ref="BS51:CL51" si="64">$CO$5*BS46+BS47*$CP$5+BS48*$CQ$5+BS49*$CR$5</f>
        <v>2691924558.7099514</v>
      </c>
      <c r="BT51" s="376">
        <f t="shared" si="64"/>
        <v>1857389874.6528111</v>
      </c>
      <c r="BU51" s="376">
        <f t="shared" si="64"/>
        <v>924294118.31688201</v>
      </c>
      <c r="BV51" s="376">
        <f t="shared" si="64"/>
        <v>1478988245.050344</v>
      </c>
      <c r="BW51" s="376">
        <f t="shared" si="64"/>
        <v>2054227721.6899459</v>
      </c>
      <c r="BX51" s="376">
        <f t="shared" si="64"/>
        <v>2200235546.1096163</v>
      </c>
      <c r="BY51" s="376">
        <f t="shared" si="64"/>
        <v>2172161335.6423616</v>
      </c>
      <c r="BZ51" s="376">
        <f t="shared" si="64"/>
        <v>2159334381.4179149</v>
      </c>
      <c r="CA51" s="376">
        <f t="shared" si="64"/>
        <v>2164822215.1816297</v>
      </c>
      <c r="CB51" s="376">
        <f t="shared" si="64"/>
        <v>2248441765.5556459</v>
      </c>
      <c r="CC51" s="376">
        <f t="shared" si="64"/>
        <v>2498426111.1676702</v>
      </c>
      <c r="CD51" s="376">
        <f t="shared" si="64"/>
        <v>2946706331.2136755</v>
      </c>
      <c r="CE51" s="376">
        <f t="shared" si="64"/>
        <v>3241727289.3749776</v>
      </c>
      <c r="CF51" s="376">
        <f t="shared" si="64"/>
        <v>3362965700.9943485</v>
      </c>
      <c r="CG51" s="376">
        <f t="shared" si="64"/>
        <v>3215007216.0362144</v>
      </c>
      <c r="CH51" s="376">
        <f t="shared" si="64"/>
        <v>3161208181.6374979</v>
      </c>
      <c r="CI51" s="376">
        <f t="shared" si="64"/>
        <v>3427620408.5177574</v>
      </c>
      <c r="CJ51" s="376">
        <f t="shared" si="64"/>
        <v>3794144293.5644813</v>
      </c>
      <c r="CK51" s="376">
        <f t="shared" si="64"/>
        <v>3687714687.068984</v>
      </c>
      <c r="CL51" s="382">
        <f t="shared" si="64"/>
        <v>3824956524.2303057</v>
      </c>
      <c r="CM51" s="319">
        <f t="shared" si="27"/>
        <v>2525851506.1354551</v>
      </c>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row>
    <row r="52" spans="1:178" s="314" customFormat="1">
      <c r="A52" s="463" t="s">
        <v>334</v>
      </c>
      <c r="B52" s="52" t="s">
        <v>309</v>
      </c>
      <c r="C52" s="463"/>
      <c r="D52" s="463"/>
      <c r="E52" s="17"/>
      <c r="F52" s="382" t="s">
        <v>335</v>
      </c>
      <c r="G52" s="465">
        <f>G50/(G2*G12+G13*G3+G4*G14+G15*G5)</f>
        <v>0.6719288965709147</v>
      </c>
      <c r="H52" s="465">
        <f t="shared" ref="H52:BR52" si="65">H50/(H2*H12+H13*H3+H4*H14+H15*H5)</f>
        <v>0.68096948164164828</v>
      </c>
      <c r="I52" s="465">
        <f t="shared" si="65"/>
        <v>0.69001448577304414</v>
      </c>
      <c r="J52" s="465">
        <f t="shared" si="65"/>
        <v>0.70191455874464326</v>
      </c>
      <c r="K52" s="465">
        <f t="shared" si="65"/>
        <v>0.69167424287177004</v>
      </c>
      <c r="L52" s="465">
        <f t="shared" si="65"/>
        <v>0.69115910481468779</v>
      </c>
      <c r="M52" s="465">
        <f t="shared" si="65"/>
        <v>0.6896676450669873</v>
      </c>
      <c r="N52" s="465">
        <f t="shared" si="65"/>
        <v>0.68757310411298422</v>
      </c>
      <c r="O52" s="465">
        <f t="shared" si="65"/>
        <v>0.68791448022479318</v>
      </c>
      <c r="P52" s="465">
        <f t="shared" si="65"/>
        <v>0.69409145096889091</v>
      </c>
      <c r="Q52" s="465">
        <f t="shared" si="65"/>
        <v>0.70032488316348573</v>
      </c>
      <c r="R52" s="465">
        <f t="shared" si="65"/>
        <v>0.70002032094917499</v>
      </c>
      <c r="S52" s="465">
        <f t="shared" si="65"/>
        <v>0.6965805321715447</v>
      </c>
      <c r="T52" s="465">
        <f t="shared" si="65"/>
        <v>0.69456206921899188</v>
      </c>
      <c r="U52" s="465">
        <f t="shared" si="65"/>
        <v>0.69045901183435643</v>
      </c>
      <c r="V52" s="465">
        <f t="shared" si="65"/>
        <v>0.70251287325912626</v>
      </c>
      <c r="W52" s="465">
        <f t="shared" si="65"/>
        <v>0.70808302392676448</v>
      </c>
      <c r="X52" s="465">
        <f t="shared" si="65"/>
        <v>0.70236921294709309</v>
      </c>
      <c r="Y52" s="465">
        <f t="shared" si="65"/>
        <v>0.69187649037772492</v>
      </c>
      <c r="Z52" s="465">
        <f t="shared" si="65"/>
        <v>0.68963905829762762</v>
      </c>
      <c r="AA52" s="465">
        <f t="shared" si="65"/>
        <v>0.68844532572136652</v>
      </c>
      <c r="AB52" s="465">
        <f t="shared" si="65"/>
        <v>0.69422014956416189</v>
      </c>
      <c r="AC52" s="465">
        <f t="shared" si="65"/>
        <v>0.69672506670849033</v>
      </c>
      <c r="AD52" s="465">
        <f t="shared" si="65"/>
        <v>0.69331668475214892</v>
      </c>
      <c r="AE52" s="465">
        <f t="shared" si="65"/>
        <v>0.68334102753129067</v>
      </c>
      <c r="AF52" s="465">
        <f t="shared" si="65"/>
        <v>0.68182787032060554</v>
      </c>
      <c r="AG52" s="465">
        <f t="shared" si="65"/>
        <v>0.67931284655674029</v>
      </c>
      <c r="AH52" s="465">
        <f t="shared" si="65"/>
        <v>0.67583889856998203</v>
      </c>
      <c r="AI52" s="465">
        <f t="shared" si="65"/>
        <v>0.67370878521934485</v>
      </c>
      <c r="AJ52" s="465">
        <f t="shared" si="65"/>
        <v>0.67703142816067308</v>
      </c>
      <c r="AK52" s="465">
        <f t="shared" si="65"/>
        <v>0.67846733327614916</v>
      </c>
      <c r="AL52" s="465">
        <f t="shared" si="65"/>
        <v>0.68253977354530726</v>
      </c>
      <c r="AM52" s="465">
        <f t="shared" si="65"/>
        <v>0.68528510137368914</v>
      </c>
      <c r="AN52" s="465">
        <f t="shared" si="65"/>
        <v>0.68547690103646686</v>
      </c>
      <c r="AO52" s="465">
        <f t="shared" si="65"/>
        <v>0.68014964451915749</v>
      </c>
      <c r="AP52" s="465">
        <f t="shared" si="65"/>
        <v>0.67602384498978152</v>
      </c>
      <c r="AQ52" s="465">
        <f t="shared" si="65"/>
        <v>0.67531796266080779</v>
      </c>
      <c r="AR52" s="465">
        <f t="shared" si="65"/>
        <v>0.67218451503361065</v>
      </c>
      <c r="AS52" s="465">
        <f t="shared" si="65"/>
        <v>0.67228266970796968</v>
      </c>
      <c r="AT52" s="465">
        <f t="shared" si="65"/>
        <v>0.67172620686207407</v>
      </c>
      <c r="AU52" s="466">
        <f t="shared" si="65"/>
        <v>0.67519343855516178</v>
      </c>
      <c r="AV52" s="466">
        <f t="shared" si="65"/>
        <v>0.67457758162145931</v>
      </c>
      <c r="AW52" s="466">
        <f t="shared" si="65"/>
        <v>0.67358363422171563</v>
      </c>
      <c r="AX52" s="466">
        <f t="shared" si="65"/>
        <v>0.66948687061129486</v>
      </c>
      <c r="AY52" s="466">
        <f t="shared" si="65"/>
        <v>0.67012051493738323</v>
      </c>
      <c r="AZ52" s="466">
        <f t="shared" si="65"/>
        <v>0.66930267758905726</v>
      </c>
      <c r="BA52" s="466">
        <f t="shared" si="65"/>
        <v>0.66872014278403413</v>
      </c>
      <c r="BB52" s="466">
        <f t="shared" si="65"/>
        <v>0.66666599470449228</v>
      </c>
      <c r="BC52" s="466">
        <f t="shared" si="65"/>
        <v>0.66767157478870198</v>
      </c>
      <c r="BD52" s="466">
        <f t="shared" si="65"/>
        <v>0.67757062791939171</v>
      </c>
      <c r="BE52" s="466">
        <f t="shared" si="65"/>
        <v>0.68429277971087044</v>
      </c>
      <c r="BF52" s="466">
        <f t="shared" si="65"/>
        <v>0.68390754733920545</v>
      </c>
      <c r="BG52" s="466">
        <f t="shared" si="65"/>
        <v>0.67950967745192736</v>
      </c>
      <c r="BH52" s="466">
        <f t="shared" si="65"/>
        <v>0.6768486265702931</v>
      </c>
      <c r="BI52" s="466">
        <f t="shared" si="65"/>
        <v>0.67640991108247017</v>
      </c>
      <c r="BJ52" s="466">
        <f t="shared" si="65"/>
        <v>0.67801793886185346</v>
      </c>
      <c r="BK52" s="466">
        <f t="shared" si="65"/>
        <v>0.68543626474919239</v>
      </c>
      <c r="BL52" s="466">
        <f t="shared" si="65"/>
        <v>0.68427368151891799</v>
      </c>
      <c r="BM52" s="466">
        <f t="shared" si="65"/>
        <v>0.68725326461432912</v>
      </c>
      <c r="BN52" s="466">
        <f t="shared" si="65"/>
        <v>0.68511232334995209</v>
      </c>
      <c r="BO52" s="466">
        <f t="shared" si="65"/>
        <v>0.67979013745813599</v>
      </c>
      <c r="BP52" s="466">
        <f t="shared" si="65"/>
        <v>0.67767389635934927</v>
      </c>
      <c r="BQ52" s="466">
        <f t="shared" si="65"/>
        <v>0.67572334054808081</v>
      </c>
      <c r="BR52" s="466">
        <f t="shared" si="65"/>
        <v>0.67417346111022791</v>
      </c>
      <c r="BS52" s="466">
        <f t="shared" ref="BS52:CL52" si="66">BS50/(BS2*BS12+BS13*BS3+BS4*BS14+BS15*BS5)</f>
        <v>0.67880648837147328</v>
      </c>
      <c r="BT52" s="466">
        <f t="shared" si="66"/>
        <v>0.69891733705148562</v>
      </c>
      <c r="BU52" s="466">
        <f t="shared" si="66"/>
        <v>0.73567496976165481</v>
      </c>
      <c r="BV52" s="466">
        <f t="shared" si="66"/>
        <v>0.70456172266491934</v>
      </c>
      <c r="BW52" s="466">
        <f t="shared" si="66"/>
        <v>0.68585059329630005</v>
      </c>
      <c r="BX52" s="466">
        <f t="shared" si="66"/>
        <v>0.68211682348783376</v>
      </c>
      <c r="BY52" s="466">
        <f t="shared" si="66"/>
        <v>0.68280851849366309</v>
      </c>
      <c r="BZ52" s="466">
        <f t="shared" si="66"/>
        <v>0.68321887809358328</v>
      </c>
      <c r="CA52" s="466">
        <f t="shared" si="66"/>
        <v>0.67834297774357899</v>
      </c>
      <c r="CB52" s="466">
        <f t="shared" si="66"/>
        <v>0.67801096735789013</v>
      </c>
      <c r="CC52" s="466">
        <f t="shared" si="66"/>
        <v>0.67334008338736917</v>
      </c>
      <c r="CD52" s="466">
        <f t="shared" si="66"/>
        <v>0.66758054096990216</v>
      </c>
      <c r="CE52" s="466">
        <f t="shared" si="66"/>
        <v>0.66473737980502001</v>
      </c>
      <c r="CF52" s="466">
        <f t="shared" si="66"/>
        <v>0.66362476647497515</v>
      </c>
      <c r="CG52" s="466">
        <f t="shared" si="66"/>
        <v>0.66490201198904386</v>
      </c>
      <c r="CH52" s="466">
        <f t="shared" si="66"/>
        <v>0.66451846979991014</v>
      </c>
      <c r="CI52" s="466">
        <f t="shared" si="66"/>
        <v>0.66225483495136805</v>
      </c>
      <c r="CJ52" s="466">
        <f t="shared" si="66"/>
        <v>0.66008976593231972</v>
      </c>
      <c r="CK52" s="466">
        <f t="shared" si="66"/>
        <v>0.66146377011437207</v>
      </c>
      <c r="CL52" s="467">
        <f t="shared" si="66"/>
        <v>0.66037362274846834</v>
      </c>
      <c r="CM52" s="468">
        <f t="shared" si="27"/>
        <v>0.68189365945236546</v>
      </c>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row>
    <row r="53" spans="1:178">
      <c r="A53" s="463" t="s">
        <v>334</v>
      </c>
      <c r="B53" s="52" t="s">
        <v>309</v>
      </c>
      <c r="C53" s="362"/>
      <c r="D53" s="362"/>
      <c r="E53" s="58"/>
      <c r="F53" s="382" t="s">
        <v>336</v>
      </c>
      <c r="G53" s="465">
        <f t="shared" ref="G53:BR53" si="67">G51/(G2*G12+G13*G3+G4*G14+G15*G5)</f>
        <v>0.32807110342908535</v>
      </c>
      <c r="H53" s="465">
        <f t="shared" si="67"/>
        <v>0.31903051835835161</v>
      </c>
      <c r="I53" s="465">
        <f t="shared" si="67"/>
        <v>0.30998551422695592</v>
      </c>
      <c r="J53" s="465">
        <f t="shared" si="67"/>
        <v>0.29808544125535658</v>
      </c>
      <c r="K53" s="465">
        <f t="shared" si="67"/>
        <v>0.3083257571282299</v>
      </c>
      <c r="L53" s="465">
        <f t="shared" si="67"/>
        <v>0.30884089518531216</v>
      </c>
      <c r="M53" s="465">
        <f t="shared" si="67"/>
        <v>0.31033235493301253</v>
      </c>
      <c r="N53" s="465">
        <f t="shared" si="67"/>
        <v>0.31242689588701589</v>
      </c>
      <c r="O53" s="465">
        <f t="shared" si="67"/>
        <v>0.31208551977520671</v>
      </c>
      <c r="P53" s="465">
        <f t="shared" si="67"/>
        <v>0.30590854903110903</v>
      </c>
      <c r="Q53" s="465">
        <f t="shared" si="67"/>
        <v>0.29967511683651432</v>
      </c>
      <c r="R53" s="465">
        <f t="shared" si="67"/>
        <v>0.29997967905082518</v>
      </c>
      <c r="S53" s="465">
        <f t="shared" si="67"/>
        <v>0.30341946782845525</v>
      </c>
      <c r="T53" s="465">
        <f t="shared" si="67"/>
        <v>0.30543793078100795</v>
      </c>
      <c r="U53" s="465">
        <f t="shared" si="67"/>
        <v>0.30954098816564352</v>
      </c>
      <c r="V53" s="465">
        <f t="shared" si="67"/>
        <v>0.29748712674087396</v>
      </c>
      <c r="W53" s="465">
        <f t="shared" si="67"/>
        <v>0.29191697607323541</v>
      </c>
      <c r="X53" s="465">
        <f t="shared" si="67"/>
        <v>0.2976307870529068</v>
      </c>
      <c r="Y53" s="465">
        <f t="shared" si="67"/>
        <v>0.30812350962227508</v>
      </c>
      <c r="Z53" s="465">
        <f t="shared" si="67"/>
        <v>0.31036094170237244</v>
      </c>
      <c r="AA53" s="465">
        <f t="shared" si="67"/>
        <v>0.31155467427863348</v>
      </c>
      <c r="AB53" s="465">
        <f t="shared" si="67"/>
        <v>0.30577985043583805</v>
      </c>
      <c r="AC53" s="465">
        <f t="shared" si="67"/>
        <v>0.30327493329150979</v>
      </c>
      <c r="AD53" s="465">
        <f t="shared" si="67"/>
        <v>0.30668331524785114</v>
      </c>
      <c r="AE53" s="465">
        <f t="shared" si="67"/>
        <v>0.31665897246870939</v>
      </c>
      <c r="AF53" s="465">
        <f t="shared" si="67"/>
        <v>0.31817212967939457</v>
      </c>
      <c r="AG53" s="465">
        <f t="shared" si="67"/>
        <v>0.32068715344325965</v>
      </c>
      <c r="AH53" s="465">
        <f t="shared" si="67"/>
        <v>0.32416110143001786</v>
      </c>
      <c r="AI53" s="465">
        <f t="shared" si="67"/>
        <v>0.32629121478065509</v>
      </c>
      <c r="AJ53" s="465">
        <f t="shared" si="67"/>
        <v>0.32296857183932692</v>
      </c>
      <c r="AK53" s="465">
        <f t="shared" si="67"/>
        <v>0.32153266672385095</v>
      </c>
      <c r="AL53" s="465">
        <f t="shared" si="67"/>
        <v>0.31746022645469263</v>
      </c>
      <c r="AM53" s="465">
        <f t="shared" si="67"/>
        <v>0.31471489862631097</v>
      </c>
      <c r="AN53" s="465">
        <f t="shared" si="67"/>
        <v>0.31452309896353314</v>
      </c>
      <c r="AO53" s="465">
        <f t="shared" si="67"/>
        <v>0.31985035548084245</v>
      </c>
      <c r="AP53" s="465">
        <f t="shared" si="67"/>
        <v>0.32397615501021848</v>
      </c>
      <c r="AQ53" s="465">
        <f t="shared" si="67"/>
        <v>0.32468203733919232</v>
      </c>
      <c r="AR53" s="465">
        <f t="shared" si="67"/>
        <v>0.32781548496638935</v>
      </c>
      <c r="AS53" s="465">
        <f t="shared" si="67"/>
        <v>0.32771733029203026</v>
      </c>
      <c r="AT53" s="465">
        <f t="shared" si="67"/>
        <v>0.32827379313792587</v>
      </c>
      <c r="AU53" s="466">
        <f t="shared" si="67"/>
        <v>0.32480656144483822</v>
      </c>
      <c r="AV53" s="466">
        <f t="shared" si="67"/>
        <v>0.32542241837854058</v>
      </c>
      <c r="AW53" s="466">
        <f t="shared" si="67"/>
        <v>0.32641636577828431</v>
      </c>
      <c r="AX53" s="466">
        <f t="shared" si="67"/>
        <v>0.33051312938870497</v>
      </c>
      <c r="AY53" s="466">
        <f t="shared" si="67"/>
        <v>0.32987948506261694</v>
      </c>
      <c r="AZ53" s="466">
        <f t="shared" si="67"/>
        <v>0.33069732241094274</v>
      </c>
      <c r="BA53" s="466">
        <f t="shared" si="67"/>
        <v>0.33127985721596581</v>
      </c>
      <c r="BB53" s="466">
        <f t="shared" si="67"/>
        <v>0.33333400529550766</v>
      </c>
      <c r="BC53" s="466">
        <f t="shared" si="67"/>
        <v>0.33232842521129807</v>
      </c>
      <c r="BD53" s="466">
        <f t="shared" si="67"/>
        <v>0.32242937208060829</v>
      </c>
      <c r="BE53" s="466">
        <f t="shared" si="67"/>
        <v>0.31570722028912956</v>
      </c>
      <c r="BF53" s="466">
        <f t="shared" si="67"/>
        <v>0.31609245266079455</v>
      </c>
      <c r="BG53" s="466">
        <f t="shared" si="67"/>
        <v>0.32049032254807269</v>
      </c>
      <c r="BH53" s="466">
        <f t="shared" si="67"/>
        <v>0.32315137342970696</v>
      </c>
      <c r="BI53" s="466">
        <f t="shared" si="67"/>
        <v>0.32359008891752983</v>
      </c>
      <c r="BJ53" s="466">
        <f t="shared" si="67"/>
        <v>0.32198206113814654</v>
      </c>
      <c r="BK53" s="466">
        <f t="shared" si="67"/>
        <v>0.31456373525080755</v>
      </c>
      <c r="BL53" s="466">
        <f t="shared" si="67"/>
        <v>0.31572631848108212</v>
      </c>
      <c r="BM53" s="466">
        <f t="shared" si="67"/>
        <v>0.31274673538567077</v>
      </c>
      <c r="BN53" s="466">
        <f t="shared" si="67"/>
        <v>0.31488767665004802</v>
      </c>
      <c r="BO53" s="466">
        <f t="shared" si="67"/>
        <v>0.32020986254186401</v>
      </c>
      <c r="BP53" s="466">
        <f t="shared" si="67"/>
        <v>0.32232610364065062</v>
      </c>
      <c r="BQ53" s="466">
        <f t="shared" si="67"/>
        <v>0.32427665945191914</v>
      </c>
      <c r="BR53" s="466">
        <f t="shared" si="67"/>
        <v>0.32582653888977203</v>
      </c>
      <c r="BS53" s="466">
        <f t="shared" ref="BS53:CL53" si="68">BS51/(BS2*BS12+BS13*BS3+BS4*BS14+BS15*BS5)</f>
        <v>0.32119351162852688</v>
      </c>
      <c r="BT53" s="466">
        <f t="shared" si="68"/>
        <v>0.30108266294851432</v>
      </c>
      <c r="BU53" s="466">
        <f t="shared" si="68"/>
        <v>0.26432503023834519</v>
      </c>
      <c r="BV53" s="466">
        <f t="shared" si="68"/>
        <v>0.29543827733508077</v>
      </c>
      <c r="BW53" s="466">
        <f t="shared" si="68"/>
        <v>0.3141494067036999</v>
      </c>
      <c r="BX53" s="466">
        <f t="shared" si="68"/>
        <v>0.31788317651216619</v>
      </c>
      <c r="BY53" s="466">
        <f t="shared" si="68"/>
        <v>0.31719148150633686</v>
      </c>
      <c r="BZ53" s="466">
        <f t="shared" si="68"/>
        <v>0.31678112190641666</v>
      </c>
      <c r="CA53" s="466">
        <f t="shared" si="68"/>
        <v>0.32165702225642095</v>
      </c>
      <c r="CB53" s="466">
        <f t="shared" si="68"/>
        <v>0.32198903264210998</v>
      </c>
      <c r="CC53" s="466">
        <f t="shared" si="68"/>
        <v>0.32665991661263083</v>
      </c>
      <c r="CD53" s="466">
        <f t="shared" si="68"/>
        <v>0.33241945903009773</v>
      </c>
      <c r="CE53" s="466">
        <f t="shared" si="68"/>
        <v>0.33526262019497988</v>
      </c>
      <c r="CF53" s="466">
        <f t="shared" si="68"/>
        <v>0.33637523352502485</v>
      </c>
      <c r="CG53" s="466">
        <f t="shared" si="68"/>
        <v>0.33509798801095603</v>
      </c>
      <c r="CH53" s="466">
        <f t="shared" si="68"/>
        <v>0.33548153020008975</v>
      </c>
      <c r="CI53" s="466">
        <f t="shared" si="68"/>
        <v>0.33774516504863195</v>
      </c>
      <c r="CJ53" s="466">
        <f t="shared" si="68"/>
        <v>0.33991023406768023</v>
      </c>
      <c r="CK53" s="466">
        <f t="shared" si="68"/>
        <v>0.33853622988562782</v>
      </c>
      <c r="CL53" s="467">
        <f t="shared" si="68"/>
        <v>0.33962637725153177</v>
      </c>
      <c r="CM53" s="469">
        <f t="shared" si="27"/>
        <v>0.31810634054763448</v>
      </c>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c r="EU53" s="58"/>
      <c r="EV53" s="58"/>
      <c r="EW53" s="58"/>
      <c r="EX53" s="58"/>
      <c r="EY53" s="58"/>
      <c r="EZ53" s="58"/>
      <c r="FA53" s="58"/>
      <c r="FB53" s="58"/>
      <c r="FC53" s="58"/>
      <c r="FD53" s="58"/>
      <c r="FE53" s="58"/>
      <c r="FF53" s="58"/>
      <c r="FG53" s="58"/>
      <c r="FH53" s="58"/>
      <c r="FI53" s="58"/>
      <c r="FJ53" s="58"/>
      <c r="FK53" s="58"/>
      <c r="FL53" s="58"/>
      <c r="FM53" s="58"/>
      <c r="FN53" s="58"/>
      <c r="FO53" s="58"/>
      <c r="FP53" s="58"/>
      <c r="FQ53" s="58"/>
      <c r="FR53" s="58"/>
      <c r="FS53" s="58"/>
      <c r="FT53" s="58"/>
      <c r="FU53" s="58"/>
      <c r="FV53" s="58"/>
    </row>
    <row r="54" spans="1:178">
      <c r="A54" s="463" t="s">
        <v>337</v>
      </c>
      <c r="B54" s="52" t="s">
        <v>309</v>
      </c>
      <c r="C54" s="362" t="s">
        <v>323</v>
      </c>
      <c r="D54" s="362"/>
      <c r="E54" s="58"/>
      <c r="F54" s="382" t="s">
        <v>338</v>
      </c>
      <c r="G54" s="464">
        <f>G7*G18+G8*G19+G9*G20+G10*G21+G11*G22</f>
        <v>2146931953.6070817</v>
      </c>
      <c r="H54" s="464">
        <f t="shared" ref="H54:BR54" si="69">H7*H18+H8*H19+H9*H20+H10*H21+H11*H22</f>
        <v>2113611931.3147116</v>
      </c>
      <c r="I54" s="464">
        <f t="shared" si="69"/>
        <v>2123712087.4961913</v>
      </c>
      <c r="J54" s="464">
        <f t="shared" si="69"/>
        <v>2135879871.2240429</v>
      </c>
      <c r="K54" s="464">
        <f t="shared" si="69"/>
        <v>2109943330.0295124</v>
      </c>
      <c r="L54" s="464">
        <f t="shared" si="69"/>
        <v>2156226968.2725315</v>
      </c>
      <c r="M54" s="464">
        <f t="shared" si="69"/>
        <v>2121579562.8359153</v>
      </c>
      <c r="N54" s="464">
        <f t="shared" si="69"/>
        <v>2168137807.5265694</v>
      </c>
      <c r="O54" s="464">
        <f t="shared" si="69"/>
        <v>2079757369.782135</v>
      </c>
      <c r="P54" s="464">
        <f t="shared" si="69"/>
        <v>2124847767.6174877</v>
      </c>
      <c r="Q54" s="464">
        <f t="shared" si="69"/>
        <v>2073091165.9911847</v>
      </c>
      <c r="R54" s="464">
        <f t="shared" si="69"/>
        <v>1975438009.160445</v>
      </c>
      <c r="S54" s="464">
        <f t="shared" si="69"/>
        <v>2000253792.1094956</v>
      </c>
      <c r="T54" s="464">
        <f t="shared" si="69"/>
        <v>1991723187.9628112</v>
      </c>
      <c r="U54" s="464">
        <f t="shared" si="69"/>
        <v>1890411424.3426554</v>
      </c>
      <c r="V54" s="464">
        <f t="shared" si="69"/>
        <v>1960900252.7938998</v>
      </c>
      <c r="W54" s="464">
        <f t="shared" si="69"/>
        <v>1805633424.4705422</v>
      </c>
      <c r="X54" s="464">
        <f t="shared" si="69"/>
        <v>1817785644.7111759</v>
      </c>
      <c r="Y54" s="464">
        <f t="shared" si="69"/>
        <v>1892327981.7880354</v>
      </c>
      <c r="Z54" s="464">
        <f t="shared" si="69"/>
        <v>1883548338.7417812</v>
      </c>
      <c r="AA54" s="464">
        <f t="shared" si="69"/>
        <v>1903158307.6574607</v>
      </c>
      <c r="AB54" s="464">
        <f t="shared" si="69"/>
        <v>1943534840.9133639</v>
      </c>
      <c r="AC54" s="464">
        <f t="shared" si="69"/>
        <v>1956876588.0618243</v>
      </c>
      <c r="AD54" s="464">
        <f t="shared" si="69"/>
        <v>1914659669.9888694</v>
      </c>
      <c r="AE54" s="464">
        <f t="shared" si="69"/>
        <v>1912745502.973686</v>
      </c>
      <c r="AF54" s="464">
        <f t="shared" si="69"/>
        <v>1913549807.3621423</v>
      </c>
      <c r="AG54" s="464">
        <f t="shared" si="69"/>
        <v>1970512647.5069883</v>
      </c>
      <c r="AH54" s="464">
        <f t="shared" si="69"/>
        <v>2031578578.3125372</v>
      </c>
      <c r="AI54" s="464">
        <f t="shared" si="69"/>
        <v>2160536741.3600712</v>
      </c>
      <c r="AJ54" s="464">
        <f t="shared" si="69"/>
        <v>2120320581.1326625</v>
      </c>
      <c r="AK54" s="464">
        <f t="shared" si="69"/>
        <v>2223267902.9602041</v>
      </c>
      <c r="AL54" s="464">
        <f t="shared" si="69"/>
        <v>2172805568.4507384</v>
      </c>
      <c r="AM54" s="464">
        <f t="shared" si="69"/>
        <v>2140467538.2301235</v>
      </c>
      <c r="AN54" s="464">
        <f t="shared" si="69"/>
        <v>2164291128.0908957</v>
      </c>
      <c r="AO54" s="464">
        <f t="shared" si="69"/>
        <v>2097673564.9724956</v>
      </c>
      <c r="AP54" s="464">
        <f t="shared" si="69"/>
        <v>2094232383.5399387</v>
      </c>
      <c r="AQ54" s="464">
        <f t="shared" si="69"/>
        <v>2127590568.2209167</v>
      </c>
      <c r="AR54" s="464">
        <f t="shared" si="69"/>
        <v>2045339485.0055718</v>
      </c>
      <c r="AS54" s="464">
        <f t="shared" si="69"/>
        <v>2138987311.7296226</v>
      </c>
      <c r="AT54" s="464">
        <f t="shared" si="69"/>
        <v>2188557100.369648</v>
      </c>
      <c r="AU54" s="376">
        <f t="shared" si="69"/>
        <v>2325856595.9268208</v>
      </c>
      <c r="AV54" s="376">
        <f t="shared" si="69"/>
        <v>2381769159.2625484</v>
      </c>
      <c r="AW54" s="376">
        <f t="shared" si="69"/>
        <v>2417021197.1475396</v>
      </c>
      <c r="AX54" s="376">
        <f t="shared" si="69"/>
        <v>2450616312.2641397</v>
      </c>
      <c r="AY54" s="376">
        <f t="shared" si="69"/>
        <v>2836497154.6165628</v>
      </c>
      <c r="AZ54" s="376">
        <f t="shared" si="69"/>
        <v>2808264639.3488865</v>
      </c>
      <c r="BA54" s="376">
        <f t="shared" si="69"/>
        <v>2815912834.5750637</v>
      </c>
      <c r="BB54" s="376">
        <f t="shared" si="69"/>
        <v>2955221692.5867639</v>
      </c>
      <c r="BC54" s="376">
        <f t="shared" si="69"/>
        <v>2915249146.8372469</v>
      </c>
      <c r="BD54" s="376">
        <f t="shared" si="69"/>
        <v>2671274574.6366334</v>
      </c>
      <c r="BE54" s="376">
        <f t="shared" si="69"/>
        <v>2244960402.809906</v>
      </c>
      <c r="BF54" s="376">
        <f t="shared" si="69"/>
        <v>2078078365.151567</v>
      </c>
      <c r="BG54" s="376">
        <f t="shared" si="69"/>
        <v>2072263527.7952678</v>
      </c>
      <c r="BH54" s="376">
        <f t="shared" si="69"/>
        <v>2140685705.6147151</v>
      </c>
      <c r="BI54" s="376">
        <f t="shared" si="69"/>
        <v>2126063177.2597153</v>
      </c>
      <c r="BJ54" s="376">
        <f t="shared" si="69"/>
        <v>2104617976.3614671</v>
      </c>
      <c r="BK54" s="376">
        <f t="shared" si="69"/>
        <v>2155834148.5820341</v>
      </c>
      <c r="BL54" s="376">
        <f t="shared" si="69"/>
        <v>2112869040.8967116</v>
      </c>
      <c r="BM54" s="376">
        <f t="shared" si="69"/>
        <v>2219431597.3833466</v>
      </c>
      <c r="BN54" s="376">
        <f t="shared" si="69"/>
        <v>2259437349.9476085</v>
      </c>
      <c r="BO54" s="376">
        <f t="shared" si="69"/>
        <v>2380658370.9241524</v>
      </c>
      <c r="BP54" s="376">
        <f t="shared" si="69"/>
        <v>2259821107.2510276</v>
      </c>
      <c r="BQ54" s="376">
        <f t="shared" si="69"/>
        <v>2063530410.8567803</v>
      </c>
      <c r="BR54" s="376">
        <f t="shared" si="69"/>
        <v>2201892538.9474139</v>
      </c>
      <c r="BS54" s="376">
        <f t="shared" ref="BS54:CL54" si="70">BS7*BS18+BS8*BS19+BS9*BS20+BS10*BS21+BS11*BS22</f>
        <v>2217169007.9518428</v>
      </c>
      <c r="BT54" s="376">
        <f t="shared" si="70"/>
        <v>2005222892.2537336</v>
      </c>
      <c r="BU54" s="376">
        <f t="shared" si="70"/>
        <v>1542385957.1768253</v>
      </c>
      <c r="BV54" s="376">
        <f t="shared" si="70"/>
        <v>989947866.06813431</v>
      </c>
      <c r="BW54" s="376">
        <f t="shared" si="70"/>
        <v>1099814701.3746512</v>
      </c>
      <c r="BX54" s="376">
        <f t="shared" si="70"/>
        <v>1353122010.7435229</v>
      </c>
      <c r="BY54" s="376">
        <f t="shared" si="70"/>
        <v>1457278993.6918116</v>
      </c>
      <c r="BZ54" s="376">
        <f t="shared" si="70"/>
        <v>1603136137.0073113</v>
      </c>
      <c r="CA54" s="376">
        <f t="shared" si="70"/>
        <v>1680084547.8808582</v>
      </c>
      <c r="CB54" s="376">
        <f t="shared" si="70"/>
        <v>1844569087.8909144</v>
      </c>
      <c r="CC54" s="376">
        <f t="shared" si="70"/>
        <v>2180257268.4335723</v>
      </c>
      <c r="CD54" s="376">
        <f t="shared" si="70"/>
        <v>2237666375.9768968</v>
      </c>
      <c r="CE54" s="376">
        <f t="shared" si="70"/>
        <v>2060048439.0739055</v>
      </c>
      <c r="CF54" s="376">
        <f t="shared" si="70"/>
        <v>2223373529.6037898</v>
      </c>
      <c r="CG54" s="376">
        <f t="shared" si="70"/>
        <v>2556893168.6593938</v>
      </c>
      <c r="CH54" s="376">
        <f t="shared" si="70"/>
        <v>2538142362.5742683</v>
      </c>
      <c r="CI54" s="376">
        <f t="shared" si="70"/>
        <v>2654065104.6995935</v>
      </c>
      <c r="CJ54" s="376">
        <f t="shared" si="70"/>
        <v>2824575846.7266102</v>
      </c>
      <c r="CK54" s="376">
        <f t="shared" si="70"/>
        <v>3160301197.2429938</v>
      </c>
      <c r="CL54" s="382">
        <f t="shared" si="70"/>
        <v>3123827790.9294677</v>
      </c>
      <c r="CM54" s="75">
        <f t="shared" si="27"/>
        <v>2144549250.0185947</v>
      </c>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row>
    <row r="55" spans="1:178">
      <c r="A55" s="457" t="s">
        <v>339</v>
      </c>
      <c r="B55" s="53" t="s">
        <v>309</v>
      </c>
      <c r="C55" s="367" t="s">
        <v>323</v>
      </c>
      <c r="D55" s="367"/>
      <c r="E55" s="236"/>
      <c r="F55" s="389" t="s">
        <v>181</v>
      </c>
      <c r="G55" s="470">
        <f t="shared" ref="G55:R55" si="71">G23*G2+G3*G24+G25*G4+G5*G26+G27*CP41</f>
        <v>1938920910.3204472</v>
      </c>
      <c r="H55" s="470">
        <f t="shared" si="71"/>
        <v>1700188969.416723</v>
      </c>
      <c r="I55" s="470">
        <f t="shared" si="71"/>
        <v>1459803433.4242163</v>
      </c>
      <c r="J55" s="470">
        <f t="shared" si="71"/>
        <v>1159067616.7918191</v>
      </c>
      <c r="K55" s="470">
        <f t="shared" si="71"/>
        <v>1347904894.22278</v>
      </c>
      <c r="L55" s="470">
        <f t="shared" si="71"/>
        <v>1392989621.2020538</v>
      </c>
      <c r="M55" s="470">
        <f t="shared" si="71"/>
        <v>1403077063.1499698</v>
      </c>
      <c r="N55" s="470">
        <f t="shared" si="71"/>
        <v>1468009304.8818994</v>
      </c>
      <c r="O55" s="470">
        <f t="shared" si="71"/>
        <v>1378855720.0755529</v>
      </c>
      <c r="P55" s="470">
        <f t="shared" si="71"/>
        <v>1247262318.1005683</v>
      </c>
      <c r="Q55" s="470">
        <f t="shared" si="71"/>
        <v>1145851023.0120943</v>
      </c>
      <c r="R55" s="470">
        <f t="shared" si="71"/>
        <v>1135601552.9883449</v>
      </c>
      <c r="S55" s="470">
        <f t="shared" ref="S55:AX55" si="72">S23*S2+S3*S24+S25*S4+S5*S26+S27*DB41</f>
        <v>1201751427.7473164</v>
      </c>
      <c r="T55" s="470">
        <f t="shared" si="72"/>
        <v>1263696731.9023025</v>
      </c>
      <c r="U55" s="470">
        <f t="shared" si="72"/>
        <v>1275718977.9146814</v>
      </c>
      <c r="V55" s="470">
        <f t="shared" si="72"/>
        <v>1031827336.3853753</v>
      </c>
      <c r="W55" s="470">
        <f t="shared" si="72"/>
        <v>935532257.59957886</v>
      </c>
      <c r="X55" s="470">
        <f t="shared" si="72"/>
        <v>991706643.54625022</v>
      </c>
      <c r="Y55" s="470">
        <f t="shared" si="72"/>
        <v>1070819691.9070235</v>
      </c>
      <c r="Z55" s="470">
        <f t="shared" si="72"/>
        <v>1115152770.7075467</v>
      </c>
      <c r="AA55" s="470">
        <f t="shared" si="72"/>
        <v>1142164015.207886</v>
      </c>
      <c r="AB55" s="470">
        <f t="shared" si="72"/>
        <v>1035702433.954584</v>
      </c>
      <c r="AC55" s="470">
        <f t="shared" si="72"/>
        <v>991591792.84980869</v>
      </c>
      <c r="AD55" s="470">
        <f t="shared" si="72"/>
        <v>1047152483.8657672</v>
      </c>
      <c r="AE55" s="470">
        <f t="shared" si="72"/>
        <v>1170403773.5002103</v>
      </c>
      <c r="AF55" s="470">
        <f t="shared" si="72"/>
        <v>1240778976.6719737</v>
      </c>
      <c r="AG55" s="470">
        <f t="shared" si="72"/>
        <v>1294950656.4603076</v>
      </c>
      <c r="AH55" s="470">
        <f t="shared" si="72"/>
        <v>1427976788.9400408</v>
      </c>
      <c r="AI55" s="470">
        <f t="shared" si="72"/>
        <v>1513087484.3993068</v>
      </c>
      <c r="AJ55" s="470">
        <f t="shared" si="72"/>
        <v>1375668086.8497117</v>
      </c>
      <c r="AK55" s="470">
        <f t="shared" si="72"/>
        <v>1303185936.9632242</v>
      </c>
      <c r="AL55" s="470">
        <f t="shared" si="72"/>
        <v>1190387224.5715015</v>
      </c>
      <c r="AM55" s="470">
        <f t="shared" si="72"/>
        <v>1138728002.3851297</v>
      </c>
      <c r="AN55" s="470">
        <f t="shared" si="72"/>
        <v>1108857111.3849087</v>
      </c>
      <c r="AO55" s="470">
        <f t="shared" si="72"/>
        <v>1253701411.0831244</v>
      </c>
      <c r="AP55" s="470">
        <f t="shared" si="72"/>
        <v>1394922541.967417</v>
      </c>
      <c r="AQ55" s="470">
        <f t="shared" si="72"/>
        <v>1550367413.7765038</v>
      </c>
      <c r="AR55" s="470">
        <f t="shared" si="72"/>
        <v>1642663481.1740692</v>
      </c>
      <c r="AS55" s="470">
        <f t="shared" si="72"/>
        <v>1642872391.7225454</v>
      </c>
      <c r="AT55" s="470">
        <f t="shared" si="72"/>
        <v>1651503439.7222037</v>
      </c>
      <c r="AU55" s="387">
        <f t="shared" si="72"/>
        <v>1528155976.7041168</v>
      </c>
      <c r="AV55" s="387">
        <f t="shared" si="72"/>
        <v>1510011160.9440815</v>
      </c>
      <c r="AW55" s="387">
        <f t="shared" si="72"/>
        <v>1580236829.9354472</v>
      </c>
      <c r="AX55" s="387">
        <f t="shared" si="72"/>
        <v>1764954500.9466574</v>
      </c>
      <c r="AY55" s="387">
        <f t="shared" ref="AY55:CD55" si="73">AY23*AY2+AY3*AY24+AY25*AY4+AY5*AY26+AY27*EH41</f>
        <v>1792926540.4615481</v>
      </c>
      <c r="AZ55" s="387">
        <f t="shared" si="73"/>
        <v>1833695483.539808</v>
      </c>
      <c r="BA55" s="387">
        <f t="shared" si="73"/>
        <v>1892012060.4156163</v>
      </c>
      <c r="BB55" s="387">
        <f t="shared" si="73"/>
        <v>2035981049.5165823</v>
      </c>
      <c r="BC55" s="387">
        <f t="shared" si="73"/>
        <v>2122777544.3109877</v>
      </c>
      <c r="BD55" s="387">
        <f t="shared" si="73"/>
        <v>1640778249.6211333</v>
      </c>
      <c r="BE55" s="387">
        <f t="shared" si="73"/>
        <v>1414899437.8314795</v>
      </c>
      <c r="BF55" s="387">
        <f t="shared" si="73"/>
        <v>1404178140.5907505</v>
      </c>
      <c r="BG55" s="387">
        <f t="shared" si="73"/>
        <v>1512471555.9752192</v>
      </c>
      <c r="BH55" s="387">
        <f t="shared" si="73"/>
        <v>1593669114.1996946</v>
      </c>
      <c r="BI55" s="387">
        <f t="shared" si="73"/>
        <v>1684885809.5411315</v>
      </c>
      <c r="BJ55" s="387">
        <f t="shared" si="73"/>
        <v>1647864221.8344002</v>
      </c>
      <c r="BK55" s="387">
        <f t="shared" si="73"/>
        <v>1390893644.9741244</v>
      </c>
      <c r="BL55" s="387">
        <f t="shared" si="73"/>
        <v>1378705572.0916884</v>
      </c>
      <c r="BM55" s="387">
        <f t="shared" si="73"/>
        <v>1331001081.3090029</v>
      </c>
      <c r="BN55" s="387">
        <f t="shared" si="73"/>
        <v>1364263218.798022</v>
      </c>
      <c r="BO55" s="387">
        <f t="shared" si="73"/>
        <v>1462661559.772922</v>
      </c>
      <c r="BP55" s="387">
        <f t="shared" si="73"/>
        <v>1539493473.3856366</v>
      </c>
      <c r="BQ55" s="387">
        <f t="shared" si="73"/>
        <v>1595802676.8083968</v>
      </c>
      <c r="BR55" s="387">
        <f t="shared" si="73"/>
        <v>1724727197.0643253</v>
      </c>
      <c r="BS55" s="387">
        <f t="shared" si="73"/>
        <v>1546919855.5033286</v>
      </c>
      <c r="BT55" s="387">
        <f t="shared" si="73"/>
        <v>1128287207.8111067</v>
      </c>
      <c r="BU55" s="387">
        <f t="shared" si="73"/>
        <v>602206469.9507072</v>
      </c>
      <c r="BV55" s="387">
        <f t="shared" si="73"/>
        <v>906624005.56095314</v>
      </c>
      <c r="BW55" s="387">
        <f t="shared" si="73"/>
        <v>1184072308.0896451</v>
      </c>
      <c r="BX55" s="387">
        <f t="shared" si="73"/>
        <v>1255403804.4439173</v>
      </c>
      <c r="BY55" s="387">
        <f t="shared" si="73"/>
        <v>1243118577.8987281</v>
      </c>
      <c r="BZ55" s="387">
        <f t="shared" si="73"/>
        <v>1236404180.0782073</v>
      </c>
      <c r="CA55" s="387">
        <f t="shared" si="73"/>
        <v>1239138329.1082335</v>
      </c>
      <c r="CB55" s="387">
        <f t="shared" si="73"/>
        <v>1302003261.1137879</v>
      </c>
      <c r="CC55" s="387">
        <f t="shared" si="73"/>
        <v>1426255993.9193206</v>
      </c>
      <c r="CD55" s="387">
        <f t="shared" si="73"/>
        <v>1675026725.2602639</v>
      </c>
      <c r="CE55" s="387">
        <f t="shared" ref="CE55:CL55" si="74">CE23*CE2+CE3*CE24+CE25*CE4+CE5*CE26+CE27*FN41</f>
        <v>1837984545.0298696</v>
      </c>
      <c r="CF55" s="387">
        <f t="shared" si="74"/>
        <v>1902135852.8788412</v>
      </c>
      <c r="CG55" s="387">
        <f t="shared" si="74"/>
        <v>1812791159.8694892</v>
      </c>
      <c r="CH55" s="387">
        <f t="shared" si="74"/>
        <v>1757355868.4482505</v>
      </c>
      <c r="CI55" s="387">
        <f t="shared" si="74"/>
        <v>1902077511.9045146</v>
      </c>
      <c r="CJ55" s="387">
        <f t="shared" si="74"/>
        <v>2113435158.6843231</v>
      </c>
      <c r="CK55" s="387">
        <f t="shared" si="74"/>
        <v>2075798273.6842232</v>
      </c>
      <c r="CL55" s="389">
        <f t="shared" si="74"/>
        <v>2142633137.6856794</v>
      </c>
      <c r="CM55" s="75">
        <f t="shared" si="27"/>
        <v>1438299071.9076543</v>
      </c>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c r="EX55" s="58"/>
      <c r="EY55" s="58"/>
      <c r="EZ55" s="58"/>
      <c r="FA55" s="58"/>
      <c r="FB55" s="58"/>
      <c r="FC55" s="58"/>
      <c r="FD55" s="58"/>
      <c r="FE55" s="58"/>
      <c r="FF55" s="58"/>
      <c r="FG55" s="58"/>
      <c r="FH55" s="58"/>
      <c r="FI55" s="58"/>
      <c r="FJ55" s="58"/>
      <c r="FK55" s="58"/>
      <c r="FL55" s="58"/>
      <c r="FM55" s="58"/>
      <c r="FN55" s="58"/>
      <c r="FO55" s="58"/>
      <c r="FP55" s="58"/>
      <c r="FQ55" s="58"/>
      <c r="FR55" s="58"/>
      <c r="FS55" s="58"/>
      <c r="FT55" s="58"/>
      <c r="FU55" s="58"/>
      <c r="FV55" s="58"/>
    </row>
    <row r="56" spans="1:178">
      <c r="A56" s="1052" t="s">
        <v>340</v>
      </c>
      <c r="B56" s="286" t="s">
        <v>309</v>
      </c>
      <c r="C56" s="356" t="s">
        <v>341</v>
      </c>
      <c r="D56" s="471"/>
      <c r="E56" s="357" t="s">
        <v>342</v>
      </c>
      <c r="F56" s="358" t="s">
        <v>182</v>
      </c>
      <c r="G56" s="356">
        <v>61200</v>
      </c>
      <c r="H56" s="356">
        <v>59900</v>
      </c>
      <c r="I56" s="356">
        <v>56300</v>
      </c>
      <c r="J56" s="356">
        <v>55700</v>
      </c>
      <c r="K56" s="356">
        <v>56300</v>
      </c>
      <c r="L56" s="356">
        <v>58150</v>
      </c>
      <c r="M56" s="356">
        <v>53250</v>
      </c>
      <c r="N56" s="356">
        <v>56120</v>
      </c>
      <c r="O56" s="356">
        <v>54550</v>
      </c>
      <c r="P56" s="356">
        <v>53770</v>
      </c>
      <c r="Q56" s="356">
        <v>49150</v>
      </c>
      <c r="R56" s="357">
        <v>50422</v>
      </c>
      <c r="S56" s="472">
        <v>63830</v>
      </c>
      <c r="T56" s="472">
        <v>65270</v>
      </c>
      <c r="U56" s="472">
        <v>63660</v>
      </c>
      <c r="V56" s="472">
        <v>62890</v>
      </c>
      <c r="W56" s="472">
        <v>59990</v>
      </c>
      <c r="X56" s="472">
        <v>61910</v>
      </c>
      <c r="Y56" s="472">
        <v>63893.9</v>
      </c>
      <c r="Z56" s="472">
        <v>65649.599999999991</v>
      </c>
      <c r="AA56" s="472">
        <v>65504.1</v>
      </c>
      <c r="AB56" s="472">
        <v>65533.2</v>
      </c>
      <c r="AC56" s="472">
        <v>66086.099999999991</v>
      </c>
      <c r="AD56" s="472">
        <v>66018.2</v>
      </c>
      <c r="AE56" s="472">
        <v>67706</v>
      </c>
      <c r="AF56" s="472">
        <v>69975.8</v>
      </c>
      <c r="AG56" s="472">
        <v>72653</v>
      </c>
      <c r="AH56" s="472">
        <v>72400.800000000003</v>
      </c>
      <c r="AI56" s="472">
        <v>72526.899999999994</v>
      </c>
      <c r="AJ56" s="472">
        <v>73943.099999999991</v>
      </c>
      <c r="AK56" s="472">
        <v>74253.5</v>
      </c>
      <c r="AL56" s="472">
        <v>70616</v>
      </c>
      <c r="AM56" s="472">
        <v>68452.899999999994</v>
      </c>
      <c r="AN56" s="472">
        <v>69209.5</v>
      </c>
      <c r="AO56" s="472">
        <v>68404.399999999994</v>
      </c>
      <c r="AP56" s="472">
        <v>68520.800000000003</v>
      </c>
      <c r="AQ56" s="472">
        <v>70034</v>
      </c>
      <c r="AR56" s="472">
        <v>70257.099999999991</v>
      </c>
      <c r="AS56" s="472">
        <v>66367.399999999994</v>
      </c>
      <c r="AT56" s="473">
        <v>66823.3</v>
      </c>
      <c r="AU56" s="472">
        <v>68191</v>
      </c>
      <c r="AV56" s="472">
        <v>74650</v>
      </c>
      <c r="AW56" s="472">
        <v>74650</v>
      </c>
      <c r="AX56" s="472">
        <v>74038</v>
      </c>
      <c r="AY56" s="472">
        <v>77038</v>
      </c>
      <c r="AZ56" s="472">
        <v>85370</v>
      </c>
      <c r="BA56" s="472">
        <v>86820</v>
      </c>
      <c r="BB56" s="472">
        <v>87660</v>
      </c>
      <c r="BC56" s="472">
        <v>84450</v>
      </c>
      <c r="BD56" s="472">
        <v>87130</v>
      </c>
      <c r="BE56" s="472">
        <v>85840</v>
      </c>
      <c r="BF56" s="474">
        <v>69920</v>
      </c>
      <c r="BG56" s="474">
        <v>73060</v>
      </c>
      <c r="BH56" s="474">
        <v>73390</v>
      </c>
      <c r="BI56" s="474">
        <v>71080</v>
      </c>
      <c r="BJ56" s="474">
        <v>71100</v>
      </c>
      <c r="BK56" s="474">
        <v>69220</v>
      </c>
      <c r="BL56" s="474">
        <v>73140</v>
      </c>
      <c r="BM56" s="474">
        <v>75100</v>
      </c>
      <c r="BN56" s="474">
        <v>76560</v>
      </c>
      <c r="BO56" s="474">
        <v>75820</v>
      </c>
      <c r="BP56" s="474">
        <v>74240</v>
      </c>
      <c r="BQ56" s="474">
        <v>74180</v>
      </c>
      <c r="BR56" s="474">
        <v>74790</v>
      </c>
      <c r="BS56" s="474">
        <v>76180</v>
      </c>
      <c r="BT56" s="474">
        <v>75130</v>
      </c>
      <c r="BU56" s="474">
        <v>70280</v>
      </c>
      <c r="BV56" s="474">
        <v>65840</v>
      </c>
      <c r="BW56" s="474">
        <v>73050</v>
      </c>
      <c r="BX56" s="474">
        <v>75370</v>
      </c>
      <c r="BY56" s="474">
        <v>78360</v>
      </c>
      <c r="BZ56" s="474">
        <v>85450</v>
      </c>
      <c r="CA56" s="474">
        <v>93490</v>
      </c>
      <c r="CB56" s="474">
        <v>98520</v>
      </c>
      <c r="CC56" s="474">
        <v>110130</v>
      </c>
      <c r="CD56" s="474">
        <v>118350</v>
      </c>
      <c r="CE56" s="474">
        <v>118720</v>
      </c>
      <c r="CF56" s="474">
        <v>122550</v>
      </c>
      <c r="CG56" s="474">
        <v>127300</v>
      </c>
      <c r="CH56" s="474">
        <v>129000</v>
      </c>
      <c r="CI56" s="474">
        <v>124550</v>
      </c>
      <c r="CJ56" s="474">
        <v>118450</v>
      </c>
      <c r="CK56" s="474">
        <v>112300</v>
      </c>
      <c r="CL56" s="475">
        <v>115700</v>
      </c>
      <c r="CM56" s="75">
        <f t="shared" si="27"/>
        <v>75992.245238095231</v>
      </c>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c r="EX56" s="58"/>
      <c r="EY56" s="58"/>
      <c r="EZ56" s="58"/>
      <c r="FA56" s="58"/>
      <c r="FB56" s="58"/>
      <c r="FC56" s="58"/>
      <c r="FD56" s="58"/>
      <c r="FE56" s="58"/>
      <c r="FF56" s="58"/>
      <c r="FG56" s="58"/>
      <c r="FH56" s="58"/>
      <c r="FI56" s="58"/>
      <c r="FJ56" s="58"/>
      <c r="FK56" s="58"/>
      <c r="FL56" s="58"/>
      <c r="FM56" s="58"/>
      <c r="FN56" s="58"/>
      <c r="FO56" s="58"/>
      <c r="FP56" s="58"/>
      <c r="FQ56" s="58"/>
      <c r="FR56" s="58"/>
      <c r="FS56" s="58"/>
      <c r="FT56" s="58"/>
      <c r="FU56" s="58"/>
      <c r="FV56" s="58"/>
    </row>
    <row r="57" spans="1:178">
      <c r="A57" s="1054"/>
      <c r="B57" s="224" t="s">
        <v>309</v>
      </c>
      <c r="C57" s="367" t="s">
        <v>341</v>
      </c>
      <c r="D57" s="476"/>
      <c r="E57" s="236" t="s">
        <v>349</v>
      </c>
      <c r="F57" s="938" t="s">
        <v>343</v>
      </c>
      <c r="G57" s="367">
        <v>77300</v>
      </c>
      <c r="H57" s="367">
        <v>75200</v>
      </c>
      <c r="I57" s="367">
        <v>72150</v>
      </c>
      <c r="J57" s="367">
        <v>70700</v>
      </c>
      <c r="K57" s="367">
        <v>71399</v>
      </c>
      <c r="L57" s="367">
        <v>74500</v>
      </c>
      <c r="M57" s="367">
        <v>72800</v>
      </c>
      <c r="N57" s="367">
        <v>69900</v>
      </c>
      <c r="O57" s="367">
        <v>65300</v>
      </c>
      <c r="P57" s="367">
        <v>67800</v>
      </c>
      <c r="Q57" s="367">
        <v>65900</v>
      </c>
      <c r="R57" s="236">
        <v>63400</v>
      </c>
      <c r="S57" s="477">
        <f t="shared" ref="S57:AS57" si="75">S56*0.95</f>
        <v>60638.5</v>
      </c>
      <c r="T57" s="477">
        <f t="shared" si="75"/>
        <v>62006.5</v>
      </c>
      <c r="U57" s="477">
        <f t="shared" si="75"/>
        <v>60477</v>
      </c>
      <c r="V57" s="477">
        <f t="shared" si="75"/>
        <v>59745.5</v>
      </c>
      <c r="W57" s="477">
        <f t="shared" si="75"/>
        <v>56990.5</v>
      </c>
      <c r="X57" s="477">
        <f t="shared" si="75"/>
        <v>58814.5</v>
      </c>
      <c r="Y57" s="477">
        <f t="shared" si="75"/>
        <v>60699.205000000002</v>
      </c>
      <c r="Z57" s="477">
        <f t="shared" si="75"/>
        <v>62367.119999999988</v>
      </c>
      <c r="AA57" s="477">
        <f t="shared" si="75"/>
        <v>62228.894999999997</v>
      </c>
      <c r="AB57" s="477">
        <f t="shared" si="75"/>
        <v>62256.539999999994</v>
      </c>
      <c r="AC57" s="477">
        <f t="shared" si="75"/>
        <v>62781.794999999991</v>
      </c>
      <c r="AD57" s="477">
        <f t="shared" si="75"/>
        <v>62717.289999999994</v>
      </c>
      <c r="AE57" s="477">
        <f t="shared" si="75"/>
        <v>64320.7</v>
      </c>
      <c r="AF57" s="477">
        <f t="shared" si="75"/>
        <v>66477.009999999995</v>
      </c>
      <c r="AG57" s="477">
        <f t="shared" si="75"/>
        <v>69020.349999999991</v>
      </c>
      <c r="AH57" s="477">
        <f t="shared" si="75"/>
        <v>68780.759999999995</v>
      </c>
      <c r="AI57" s="477">
        <f t="shared" si="75"/>
        <v>68900.554999999993</v>
      </c>
      <c r="AJ57" s="477">
        <f t="shared" si="75"/>
        <v>70245.944999999992</v>
      </c>
      <c r="AK57" s="477">
        <f t="shared" si="75"/>
        <v>70540.824999999997</v>
      </c>
      <c r="AL57" s="477">
        <f t="shared" si="75"/>
        <v>67085.2</v>
      </c>
      <c r="AM57" s="477">
        <f t="shared" si="75"/>
        <v>65030.25499999999</v>
      </c>
      <c r="AN57" s="477">
        <f t="shared" si="75"/>
        <v>65749.024999999994</v>
      </c>
      <c r="AO57" s="477">
        <f t="shared" si="75"/>
        <v>64984.179999999993</v>
      </c>
      <c r="AP57" s="477">
        <f t="shared" si="75"/>
        <v>65094.76</v>
      </c>
      <c r="AQ57" s="477">
        <f t="shared" si="75"/>
        <v>66532.3</v>
      </c>
      <c r="AR57" s="477">
        <f t="shared" si="75"/>
        <v>66744.244999999995</v>
      </c>
      <c r="AS57" s="477">
        <f t="shared" si="75"/>
        <v>63049.029999999992</v>
      </c>
      <c r="AT57" s="477">
        <f>AT56*0.95</f>
        <v>63482.135000000002</v>
      </c>
      <c r="AU57" s="477">
        <f t="shared" ref="AU57:CL57" si="76">AU56*0.95</f>
        <v>64781.45</v>
      </c>
      <c r="AV57" s="477">
        <f t="shared" si="76"/>
        <v>70917.5</v>
      </c>
      <c r="AW57" s="477">
        <f t="shared" si="76"/>
        <v>70917.5</v>
      </c>
      <c r="AX57" s="477">
        <f t="shared" si="76"/>
        <v>70336.099999999991</v>
      </c>
      <c r="AY57" s="477">
        <f t="shared" si="76"/>
        <v>73186.099999999991</v>
      </c>
      <c r="AZ57" s="477">
        <f t="shared" si="76"/>
        <v>81101.5</v>
      </c>
      <c r="BA57" s="477">
        <f t="shared" si="76"/>
        <v>82479</v>
      </c>
      <c r="BB57" s="477">
        <f t="shared" si="76"/>
        <v>83277</v>
      </c>
      <c r="BC57" s="477">
        <f t="shared" si="76"/>
        <v>80227.5</v>
      </c>
      <c r="BD57" s="477">
        <f t="shared" si="76"/>
        <v>82773.5</v>
      </c>
      <c r="BE57" s="477">
        <f t="shared" si="76"/>
        <v>81548</v>
      </c>
      <c r="BF57" s="478">
        <f t="shared" si="76"/>
        <v>66424</v>
      </c>
      <c r="BG57" s="478">
        <f t="shared" si="76"/>
        <v>69407</v>
      </c>
      <c r="BH57" s="478">
        <f t="shared" si="76"/>
        <v>69720.5</v>
      </c>
      <c r="BI57" s="478">
        <f t="shared" si="76"/>
        <v>67526</v>
      </c>
      <c r="BJ57" s="478">
        <f t="shared" si="76"/>
        <v>67545</v>
      </c>
      <c r="BK57" s="478">
        <f t="shared" si="76"/>
        <v>65759</v>
      </c>
      <c r="BL57" s="478">
        <f t="shared" si="76"/>
        <v>69483</v>
      </c>
      <c r="BM57" s="478">
        <f t="shared" si="76"/>
        <v>71345</v>
      </c>
      <c r="BN57" s="478">
        <f t="shared" si="76"/>
        <v>72732</v>
      </c>
      <c r="BO57" s="478">
        <f t="shared" si="76"/>
        <v>72029</v>
      </c>
      <c r="BP57" s="478">
        <f t="shared" si="76"/>
        <v>70528</v>
      </c>
      <c r="BQ57" s="478">
        <f t="shared" si="76"/>
        <v>70471</v>
      </c>
      <c r="BR57" s="478">
        <f t="shared" si="76"/>
        <v>71050.5</v>
      </c>
      <c r="BS57" s="478">
        <f t="shared" si="76"/>
        <v>72371</v>
      </c>
      <c r="BT57" s="478">
        <f t="shared" si="76"/>
        <v>71373.5</v>
      </c>
      <c r="BU57" s="478">
        <f t="shared" si="76"/>
        <v>66766</v>
      </c>
      <c r="BV57" s="478">
        <f t="shared" si="76"/>
        <v>62548</v>
      </c>
      <c r="BW57" s="478">
        <f t="shared" si="76"/>
        <v>69397.5</v>
      </c>
      <c r="BX57" s="478">
        <f t="shared" si="76"/>
        <v>71601.5</v>
      </c>
      <c r="BY57" s="478">
        <f t="shared" si="76"/>
        <v>74442</v>
      </c>
      <c r="BZ57" s="478">
        <f t="shared" si="76"/>
        <v>81177.5</v>
      </c>
      <c r="CA57" s="478">
        <f t="shared" si="76"/>
        <v>88815.5</v>
      </c>
      <c r="CB57" s="478">
        <f t="shared" si="76"/>
        <v>93594</v>
      </c>
      <c r="CC57" s="478">
        <f t="shared" si="76"/>
        <v>104623.5</v>
      </c>
      <c r="CD57" s="478">
        <f t="shared" si="76"/>
        <v>112432.5</v>
      </c>
      <c r="CE57" s="478">
        <f t="shared" si="76"/>
        <v>112784</v>
      </c>
      <c r="CF57" s="478">
        <f t="shared" si="76"/>
        <v>116422.5</v>
      </c>
      <c r="CG57" s="478">
        <f t="shared" si="76"/>
        <v>120935</v>
      </c>
      <c r="CH57" s="478">
        <f t="shared" si="76"/>
        <v>122550</v>
      </c>
      <c r="CI57" s="478">
        <f t="shared" si="76"/>
        <v>118322.5</v>
      </c>
      <c r="CJ57" s="478">
        <f t="shared" si="76"/>
        <v>112527.5</v>
      </c>
      <c r="CK57" s="478">
        <f t="shared" si="76"/>
        <v>106685</v>
      </c>
      <c r="CL57" s="479">
        <f t="shared" si="76"/>
        <v>109915</v>
      </c>
      <c r="CM57" s="75">
        <f t="shared" si="27"/>
        <v>74749.509166666656</v>
      </c>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c r="EX57" s="58"/>
      <c r="EY57" s="58"/>
      <c r="EZ57" s="58"/>
      <c r="FA57" s="58"/>
      <c r="FB57" s="58"/>
      <c r="FC57" s="58"/>
      <c r="FD57" s="58"/>
      <c r="FE57" s="58"/>
      <c r="FF57" s="58"/>
      <c r="FG57" s="58"/>
      <c r="FH57" s="58"/>
      <c r="FI57" s="58"/>
      <c r="FJ57" s="58"/>
      <c r="FK57" s="58"/>
      <c r="FL57" s="58"/>
      <c r="FM57" s="58"/>
      <c r="FN57" s="58"/>
      <c r="FO57" s="58"/>
      <c r="FP57" s="58"/>
      <c r="FQ57" s="58"/>
      <c r="FR57" s="58"/>
      <c r="FS57" s="58"/>
      <c r="FT57" s="58"/>
      <c r="FU57" s="58"/>
      <c r="FV57" s="58"/>
    </row>
    <row r="58" spans="1:178">
      <c r="A58" s="58"/>
      <c r="B58" s="58"/>
      <c r="C58" s="58"/>
      <c r="D58" s="58"/>
      <c r="E58" s="58"/>
      <c r="F58" s="480"/>
      <c r="G58" s="480"/>
      <c r="H58" s="480"/>
      <c r="I58" s="480"/>
      <c r="J58" s="480"/>
      <c r="K58" s="480"/>
      <c r="L58" s="480"/>
      <c r="M58" s="480"/>
      <c r="N58" s="480"/>
      <c r="O58" s="480"/>
      <c r="P58" s="480"/>
      <c r="Q58" s="480"/>
      <c r="R58" s="480"/>
      <c r="S58" s="481"/>
      <c r="T58" s="481"/>
      <c r="U58" s="481"/>
      <c r="V58" s="481"/>
      <c r="W58" s="481"/>
      <c r="X58" s="481"/>
      <c r="Y58" s="481"/>
      <c r="Z58" s="481"/>
      <c r="AA58" s="481"/>
      <c r="AB58" s="481"/>
      <c r="AC58" s="481"/>
      <c r="AD58" s="481"/>
      <c r="AE58" s="481"/>
      <c r="AF58" s="481"/>
      <c r="AG58" s="481"/>
      <c r="AH58" s="481"/>
      <c r="AI58" s="481"/>
      <c r="AJ58" s="481"/>
      <c r="AK58" s="481"/>
      <c r="AL58" s="481"/>
      <c r="AM58" s="481"/>
      <c r="AN58" s="481"/>
      <c r="AO58" s="481"/>
      <c r="AP58" s="481"/>
      <c r="AQ58" s="481"/>
      <c r="AR58" s="481"/>
      <c r="AS58" s="481"/>
      <c r="AT58" s="482">
        <v>8000</v>
      </c>
      <c r="AU58" s="481"/>
      <c r="AV58" s="481"/>
      <c r="AW58" s="481"/>
      <c r="AX58" s="481"/>
      <c r="AY58" s="481"/>
      <c r="AZ58" s="481"/>
      <c r="BA58" s="481"/>
      <c r="BB58" s="481"/>
      <c r="BC58" s="481"/>
      <c r="BD58" s="481"/>
      <c r="BE58" s="481"/>
      <c r="BF58" s="481"/>
      <c r="BG58" s="481"/>
      <c r="BH58" s="481"/>
      <c r="BI58" s="481"/>
      <c r="BJ58" s="481"/>
      <c r="BK58" s="481"/>
      <c r="BL58" s="481"/>
      <c r="BM58" s="481"/>
      <c r="BN58" s="481"/>
      <c r="BO58" s="481"/>
      <c r="BP58" s="481"/>
      <c r="BQ58" s="481"/>
      <c r="BR58" s="481"/>
      <c r="BS58" s="481"/>
      <c r="BT58" s="481"/>
      <c r="BU58" s="481"/>
      <c r="BV58" s="481"/>
      <c r="BW58" s="481"/>
      <c r="BX58" s="481"/>
      <c r="BY58" s="481"/>
      <c r="BZ58" s="481"/>
      <c r="CA58" s="481"/>
      <c r="CB58" s="481"/>
      <c r="CC58" s="481"/>
      <c r="CD58" s="481"/>
      <c r="CE58" s="481"/>
      <c r="CF58" s="481"/>
      <c r="CG58" s="481"/>
      <c r="CH58" s="481"/>
      <c r="CI58" s="481"/>
      <c r="CJ58" s="481"/>
      <c r="CK58" s="481"/>
      <c r="CL58" s="481"/>
      <c r="CM58" s="415"/>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row>
    <row r="59" spans="1:178" ht="12.75" customHeight="1">
      <c r="A59" s="1047" t="s">
        <v>608</v>
      </c>
      <c r="B59" s="1047"/>
      <c r="C59" s="1047"/>
      <c r="D59" s="1047"/>
      <c r="E59" s="1048"/>
      <c r="F59" s="483" t="s">
        <v>183</v>
      </c>
      <c r="G59" s="483"/>
      <c r="H59" s="483"/>
      <c r="I59" s="483"/>
      <c r="J59" s="483"/>
      <c r="K59" s="483"/>
      <c r="L59" s="483"/>
      <c r="M59" s="483"/>
      <c r="N59" s="483"/>
      <c r="O59" s="483"/>
      <c r="P59" s="483"/>
      <c r="Q59" s="483"/>
      <c r="R59" s="483"/>
      <c r="S59" s="484"/>
      <c r="T59" s="484"/>
      <c r="U59" s="484"/>
      <c r="V59" s="484"/>
      <c r="W59" s="484"/>
      <c r="X59" s="484"/>
      <c r="Y59" s="484"/>
      <c r="Z59" s="484"/>
      <c r="AA59" s="484"/>
      <c r="AB59" s="484"/>
      <c r="AC59" s="484"/>
      <c r="AD59" s="484"/>
      <c r="AE59" s="484"/>
      <c r="AF59" s="484"/>
      <c r="AG59" s="484"/>
      <c r="AH59" s="484"/>
      <c r="AI59" s="484"/>
      <c r="AJ59" s="484"/>
      <c r="AK59" s="484"/>
      <c r="AL59" s="484"/>
      <c r="AM59" s="484"/>
      <c r="AN59" s="484"/>
      <c r="AO59" s="484"/>
      <c r="AP59" s="484"/>
      <c r="AQ59" s="484"/>
      <c r="AR59" s="484"/>
      <c r="AS59" s="484"/>
      <c r="AT59" s="485"/>
      <c r="AU59" s="359"/>
      <c r="AV59" s="359"/>
      <c r="AW59" s="359"/>
      <c r="AX59" s="359"/>
      <c r="AY59" s="359"/>
      <c r="AZ59" s="359"/>
      <c r="BA59" s="359"/>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59"/>
      <c r="CL59" s="359"/>
      <c r="CM59" s="484"/>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row>
    <row r="60" spans="1:178">
      <c r="A60" s="1047"/>
      <c r="B60" s="1047"/>
      <c r="C60" s="1047"/>
      <c r="D60" s="1047"/>
      <c r="E60" s="1048"/>
      <c r="F60" s="363" t="s">
        <v>184</v>
      </c>
      <c r="G60" s="482">
        <f t="shared" ref="G60:BR61" si="77">G42</f>
        <v>6515410.0640951805</v>
      </c>
      <c r="H60" s="482">
        <f t="shared" si="77"/>
        <v>6515410.0640951805</v>
      </c>
      <c r="I60" s="482">
        <f t="shared" si="77"/>
        <v>6515410.0640951805</v>
      </c>
      <c r="J60" s="482">
        <f t="shared" si="77"/>
        <v>6515410.0640951805</v>
      </c>
      <c r="K60" s="482">
        <f t="shared" si="77"/>
        <v>6515410.0640951805</v>
      </c>
      <c r="L60" s="482">
        <f t="shared" si="77"/>
        <v>6515410.0640951805</v>
      </c>
      <c r="M60" s="482">
        <f t="shared" si="77"/>
        <v>6515410.0640951805</v>
      </c>
      <c r="N60" s="482">
        <f t="shared" si="77"/>
        <v>6515410.0640951805</v>
      </c>
      <c r="O60" s="482">
        <f t="shared" si="77"/>
        <v>6515410.0640951805</v>
      </c>
      <c r="P60" s="482">
        <f t="shared" si="77"/>
        <v>6515410.0640951805</v>
      </c>
      <c r="Q60" s="482">
        <f t="shared" si="77"/>
        <v>6515410.0640951805</v>
      </c>
      <c r="R60" s="482">
        <f t="shared" si="77"/>
        <v>6515410.0640951805</v>
      </c>
      <c r="S60" s="482">
        <f t="shared" si="77"/>
        <v>6515410.0640951805</v>
      </c>
      <c r="T60" s="482">
        <f t="shared" si="77"/>
        <v>6515410.0640951805</v>
      </c>
      <c r="U60" s="482">
        <f t="shared" si="77"/>
        <v>6515410.0640951805</v>
      </c>
      <c r="V60" s="482">
        <f t="shared" si="77"/>
        <v>6515410.0640951805</v>
      </c>
      <c r="W60" s="482">
        <f t="shared" si="77"/>
        <v>6515410.0640951805</v>
      </c>
      <c r="X60" s="482">
        <f t="shared" si="77"/>
        <v>6515410.0640951805</v>
      </c>
      <c r="Y60" s="482">
        <f t="shared" si="77"/>
        <v>6515410.0640951805</v>
      </c>
      <c r="Z60" s="482">
        <f t="shared" si="77"/>
        <v>6515410.0640951805</v>
      </c>
      <c r="AA60" s="482">
        <f t="shared" si="77"/>
        <v>6515410.0640951805</v>
      </c>
      <c r="AB60" s="482">
        <f t="shared" si="77"/>
        <v>6515410.0640951805</v>
      </c>
      <c r="AC60" s="482">
        <f t="shared" si="77"/>
        <v>6515410.0640951805</v>
      </c>
      <c r="AD60" s="482">
        <f t="shared" si="77"/>
        <v>6515410.0640951805</v>
      </c>
      <c r="AE60" s="482">
        <f t="shared" si="77"/>
        <v>6515410.0640951805</v>
      </c>
      <c r="AF60" s="482">
        <f t="shared" si="77"/>
        <v>6515410.0640951805</v>
      </c>
      <c r="AG60" s="482">
        <f t="shared" si="77"/>
        <v>6515410.0640951805</v>
      </c>
      <c r="AH60" s="482">
        <f t="shared" si="77"/>
        <v>6515410.0640951805</v>
      </c>
      <c r="AI60" s="482">
        <f t="shared" si="77"/>
        <v>6515410.0640951805</v>
      </c>
      <c r="AJ60" s="482">
        <f t="shared" si="77"/>
        <v>6515410.0640951805</v>
      </c>
      <c r="AK60" s="482">
        <f t="shared" si="77"/>
        <v>6515410.0640951805</v>
      </c>
      <c r="AL60" s="482">
        <f t="shared" si="77"/>
        <v>6515410.0640951805</v>
      </c>
      <c r="AM60" s="482">
        <f t="shared" si="77"/>
        <v>6515410.0640951805</v>
      </c>
      <c r="AN60" s="482">
        <f t="shared" si="77"/>
        <v>6515410.0640951805</v>
      </c>
      <c r="AO60" s="482">
        <f t="shared" si="77"/>
        <v>6515410.0640951805</v>
      </c>
      <c r="AP60" s="482">
        <f t="shared" si="77"/>
        <v>6515410.0640951805</v>
      </c>
      <c r="AQ60" s="482">
        <f t="shared" si="77"/>
        <v>6515410.0640951805</v>
      </c>
      <c r="AR60" s="482">
        <f t="shared" si="77"/>
        <v>6515410.0640951805</v>
      </c>
      <c r="AS60" s="482">
        <f t="shared" si="77"/>
        <v>6515410.0640951805</v>
      </c>
      <c r="AT60" s="482">
        <f t="shared" si="77"/>
        <v>6515410.0640951805</v>
      </c>
      <c r="AU60" s="319">
        <f t="shared" si="77"/>
        <v>6515410.0640951805</v>
      </c>
      <c r="AV60" s="319">
        <f t="shared" si="77"/>
        <v>6515410.0640951805</v>
      </c>
      <c r="AW60" s="319">
        <f t="shared" si="77"/>
        <v>6515410.0640951805</v>
      </c>
      <c r="AX60" s="319">
        <f t="shared" si="77"/>
        <v>6515410.0640951805</v>
      </c>
      <c r="AY60" s="319">
        <f t="shared" si="77"/>
        <v>6515410.0640951805</v>
      </c>
      <c r="AZ60" s="319">
        <f t="shared" si="77"/>
        <v>6515410.0640951805</v>
      </c>
      <c r="BA60" s="319">
        <f t="shared" si="77"/>
        <v>6515410.0640951805</v>
      </c>
      <c r="BB60" s="319">
        <f t="shared" si="77"/>
        <v>6515410.0640951805</v>
      </c>
      <c r="BC60" s="319">
        <f t="shared" si="77"/>
        <v>6515410.0640951805</v>
      </c>
      <c r="BD60" s="319">
        <f t="shared" si="77"/>
        <v>6515410.0640951805</v>
      </c>
      <c r="BE60" s="319">
        <f t="shared" si="77"/>
        <v>6515410.0640951805</v>
      </c>
      <c r="BF60" s="319">
        <f t="shared" si="77"/>
        <v>6515410.0640951805</v>
      </c>
      <c r="BG60" s="319">
        <f t="shared" si="77"/>
        <v>6515410.0640951805</v>
      </c>
      <c r="BH60" s="319">
        <f t="shared" si="77"/>
        <v>6515410.0640951805</v>
      </c>
      <c r="BI60" s="319">
        <f t="shared" si="77"/>
        <v>6515410.0640951805</v>
      </c>
      <c r="BJ60" s="319">
        <f t="shared" si="77"/>
        <v>6515410.0640951805</v>
      </c>
      <c r="BK60" s="319">
        <f t="shared" si="77"/>
        <v>6515410.0640951805</v>
      </c>
      <c r="BL60" s="319">
        <f t="shared" si="77"/>
        <v>6515410.0640951805</v>
      </c>
      <c r="BM60" s="319">
        <f t="shared" si="77"/>
        <v>6515410.0640951805</v>
      </c>
      <c r="BN60" s="319">
        <f t="shared" si="77"/>
        <v>6515410.0640951805</v>
      </c>
      <c r="BO60" s="319">
        <f t="shared" si="77"/>
        <v>6515410.0640951805</v>
      </c>
      <c r="BP60" s="319">
        <f t="shared" si="77"/>
        <v>6515410.0640951805</v>
      </c>
      <c r="BQ60" s="319">
        <f t="shared" si="77"/>
        <v>6515410.0640951805</v>
      </c>
      <c r="BR60" s="319">
        <f t="shared" si="77"/>
        <v>6515410.0640951805</v>
      </c>
      <c r="BS60" s="319">
        <f t="shared" ref="BS60:CL61" si="78">BS42</f>
        <v>6515410.0640951805</v>
      </c>
      <c r="BT60" s="319">
        <f t="shared" si="78"/>
        <v>6515410.0640951805</v>
      </c>
      <c r="BU60" s="319">
        <f t="shared" si="78"/>
        <v>6515410.0640951805</v>
      </c>
      <c r="BV60" s="319">
        <f t="shared" si="78"/>
        <v>6515410.0640951805</v>
      </c>
      <c r="BW60" s="319">
        <f t="shared" si="78"/>
        <v>6515410.0640951805</v>
      </c>
      <c r="BX60" s="319">
        <f t="shared" si="78"/>
        <v>6515410.0640951805</v>
      </c>
      <c r="BY60" s="319">
        <f t="shared" si="78"/>
        <v>6515410.0640951805</v>
      </c>
      <c r="BZ60" s="319">
        <f t="shared" si="78"/>
        <v>6515410.0640951805</v>
      </c>
      <c r="CA60" s="319">
        <f t="shared" si="78"/>
        <v>6515410.0640951805</v>
      </c>
      <c r="CB60" s="319">
        <f t="shared" si="78"/>
        <v>6515410.0640951805</v>
      </c>
      <c r="CC60" s="319">
        <f t="shared" si="78"/>
        <v>6515410.0640951805</v>
      </c>
      <c r="CD60" s="319">
        <f t="shared" si="78"/>
        <v>6515410.0640951805</v>
      </c>
      <c r="CE60" s="319">
        <f t="shared" si="78"/>
        <v>6515410.0640951805</v>
      </c>
      <c r="CF60" s="319">
        <f t="shared" si="78"/>
        <v>6515410.0640951805</v>
      </c>
      <c r="CG60" s="319">
        <f t="shared" si="78"/>
        <v>6515410.0640951805</v>
      </c>
      <c r="CH60" s="319">
        <f t="shared" si="78"/>
        <v>6515410.0640951805</v>
      </c>
      <c r="CI60" s="319">
        <f t="shared" si="78"/>
        <v>6515410.0640951805</v>
      </c>
      <c r="CJ60" s="319">
        <f t="shared" si="78"/>
        <v>6515410.0640951805</v>
      </c>
      <c r="CK60" s="319">
        <f t="shared" si="78"/>
        <v>6515410.0640951805</v>
      </c>
      <c r="CL60" s="319">
        <f t="shared" si="78"/>
        <v>6515410.0640951805</v>
      </c>
      <c r="CM60" s="359">
        <f t="shared" ref="CM60:CM67" si="79">AVERAGE(G60:CL60)</f>
        <v>6515410.0640951861</v>
      </c>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row>
    <row r="61" spans="1:178">
      <c r="A61" s="1047"/>
      <c r="B61" s="1047"/>
      <c r="C61" s="1047"/>
      <c r="D61" s="1047"/>
      <c r="E61" s="1048"/>
      <c r="F61" s="363" t="s">
        <v>185</v>
      </c>
      <c r="G61" s="482">
        <f t="shared" si="77"/>
        <v>12796887.139435178</v>
      </c>
      <c r="H61" s="482">
        <f t="shared" si="77"/>
        <v>12796887.139435178</v>
      </c>
      <c r="I61" s="482">
        <f t="shared" si="77"/>
        <v>12796887.139435178</v>
      </c>
      <c r="J61" s="482">
        <f t="shared" si="77"/>
        <v>12796887.139435178</v>
      </c>
      <c r="K61" s="482">
        <f t="shared" si="77"/>
        <v>12796887.139435178</v>
      </c>
      <c r="L61" s="482">
        <f t="shared" si="77"/>
        <v>12796887.139435178</v>
      </c>
      <c r="M61" s="482">
        <f t="shared" si="77"/>
        <v>12796887.139435178</v>
      </c>
      <c r="N61" s="482">
        <f t="shared" si="77"/>
        <v>12796887.139435178</v>
      </c>
      <c r="O61" s="482">
        <f t="shared" si="77"/>
        <v>12796887.139435178</v>
      </c>
      <c r="P61" s="482">
        <f t="shared" si="77"/>
        <v>12796887.139435178</v>
      </c>
      <c r="Q61" s="482">
        <f t="shared" si="77"/>
        <v>12796887.139435178</v>
      </c>
      <c r="R61" s="482">
        <f t="shared" si="77"/>
        <v>12796887.139435178</v>
      </c>
      <c r="S61" s="482">
        <f t="shared" si="77"/>
        <v>12796887.139435178</v>
      </c>
      <c r="T61" s="482">
        <f t="shared" si="77"/>
        <v>12796887.139435178</v>
      </c>
      <c r="U61" s="482">
        <f t="shared" si="77"/>
        <v>12796887.139435178</v>
      </c>
      <c r="V61" s="482">
        <f t="shared" si="77"/>
        <v>12796887.139435178</v>
      </c>
      <c r="W61" s="482">
        <f t="shared" si="77"/>
        <v>12796887.139435178</v>
      </c>
      <c r="X61" s="482">
        <f t="shared" si="77"/>
        <v>12796887.139435178</v>
      </c>
      <c r="Y61" s="482">
        <f t="shared" si="77"/>
        <v>12796887.139435178</v>
      </c>
      <c r="Z61" s="482">
        <f t="shared" si="77"/>
        <v>12796887.139435178</v>
      </c>
      <c r="AA61" s="482">
        <f t="shared" si="77"/>
        <v>12796887.139435178</v>
      </c>
      <c r="AB61" s="482">
        <f t="shared" si="77"/>
        <v>12796887.139435178</v>
      </c>
      <c r="AC61" s="482">
        <f t="shared" si="77"/>
        <v>12796887.139435178</v>
      </c>
      <c r="AD61" s="482">
        <f t="shared" si="77"/>
        <v>12796887.139435178</v>
      </c>
      <c r="AE61" s="482">
        <f t="shared" si="77"/>
        <v>12796887.139435178</v>
      </c>
      <c r="AF61" s="482">
        <f t="shared" si="77"/>
        <v>12796887.139435178</v>
      </c>
      <c r="AG61" s="482">
        <f t="shared" si="77"/>
        <v>12796887.139435178</v>
      </c>
      <c r="AH61" s="482">
        <f t="shared" si="77"/>
        <v>12796887.139435178</v>
      </c>
      <c r="AI61" s="482">
        <f t="shared" si="77"/>
        <v>12796887.139435178</v>
      </c>
      <c r="AJ61" s="482">
        <f t="shared" si="77"/>
        <v>12796887.139435178</v>
      </c>
      <c r="AK61" s="482">
        <f t="shared" si="77"/>
        <v>12796887.139435178</v>
      </c>
      <c r="AL61" s="482">
        <f t="shared" si="77"/>
        <v>12796887.139435178</v>
      </c>
      <c r="AM61" s="482">
        <f t="shared" si="77"/>
        <v>12796887.139435178</v>
      </c>
      <c r="AN61" s="482">
        <f t="shared" si="77"/>
        <v>12796887.139435178</v>
      </c>
      <c r="AO61" s="482">
        <f t="shared" si="77"/>
        <v>12796887.139435178</v>
      </c>
      <c r="AP61" s="482">
        <f t="shared" si="77"/>
        <v>12796887.139435178</v>
      </c>
      <c r="AQ61" s="482">
        <f t="shared" si="77"/>
        <v>12796887.139435178</v>
      </c>
      <c r="AR61" s="482">
        <f t="shared" si="77"/>
        <v>12796887.139435178</v>
      </c>
      <c r="AS61" s="482">
        <f t="shared" si="77"/>
        <v>12796887.139435178</v>
      </c>
      <c r="AT61" s="482">
        <f t="shared" si="77"/>
        <v>12796887.139435178</v>
      </c>
      <c r="AU61" s="319">
        <f t="shared" si="77"/>
        <v>12796887.139435178</v>
      </c>
      <c r="AV61" s="319">
        <f t="shared" si="77"/>
        <v>12796887.139435178</v>
      </c>
      <c r="AW61" s="319">
        <f t="shared" si="77"/>
        <v>12796887.139435178</v>
      </c>
      <c r="AX61" s="319">
        <f t="shared" si="77"/>
        <v>12796887.139435178</v>
      </c>
      <c r="AY61" s="319">
        <f t="shared" si="77"/>
        <v>12796887.139435178</v>
      </c>
      <c r="AZ61" s="319">
        <f t="shared" si="77"/>
        <v>12796887.139435178</v>
      </c>
      <c r="BA61" s="319">
        <f t="shared" si="77"/>
        <v>12796887.139435178</v>
      </c>
      <c r="BB61" s="319">
        <f t="shared" si="77"/>
        <v>12796887.139435178</v>
      </c>
      <c r="BC61" s="319">
        <f t="shared" si="77"/>
        <v>12796887.139435178</v>
      </c>
      <c r="BD61" s="319">
        <f t="shared" si="77"/>
        <v>12796887.139435178</v>
      </c>
      <c r="BE61" s="319">
        <f t="shared" si="77"/>
        <v>12796887.139435178</v>
      </c>
      <c r="BF61" s="319">
        <f t="shared" si="77"/>
        <v>12796887.139435178</v>
      </c>
      <c r="BG61" s="319">
        <f t="shared" si="77"/>
        <v>12796887.139435178</v>
      </c>
      <c r="BH61" s="319">
        <f t="shared" si="77"/>
        <v>12796887.139435178</v>
      </c>
      <c r="BI61" s="319">
        <f t="shared" si="77"/>
        <v>12796887.139435178</v>
      </c>
      <c r="BJ61" s="319">
        <f t="shared" si="77"/>
        <v>12796887.139435178</v>
      </c>
      <c r="BK61" s="319">
        <f t="shared" si="77"/>
        <v>12796887.139435178</v>
      </c>
      <c r="BL61" s="319">
        <f t="shared" si="77"/>
        <v>12796887.139435178</v>
      </c>
      <c r="BM61" s="319">
        <f t="shared" si="77"/>
        <v>12796887.139435178</v>
      </c>
      <c r="BN61" s="319">
        <f t="shared" si="77"/>
        <v>12796887.139435178</v>
      </c>
      <c r="BO61" s="319">
        <f t="shared" si="77"/>
        <v>12796887.139435178</v>
      </c>
      <c r="BP61" s="319">
        <f t="shared" si="77"/>
        <v>12796887.139435178</v>
      </c>
      <c r="BQ61" s="319">
        <f t="shared" si="77"/>
        <v>12796887.139435178</v>
      </c>
      <c r="BR61" s="319">
        <f t="shared" si="77"/>
        <v>12796887.139435178</v>
      </c>
      <c r="BS61" s="319">
        <f t="shared" si="78"/>
        <v>12796887.139435178</v>
      </c>
      <c r="BT61" s="319">
        <f t="shared" si="78"/>
        <v>12796887.139435178</v>
      </c>
      <c r="BU61" s="319">
        <f t="shared" si="78"/>
        <v>12796887.139435178</v>
      </c>
      <c r="BV61" s="319">
        <f t="shared" si="78"/>
        <v>12796887.139435178</v>
      </c>
      <c r="BW61" s="319">
        <f t="shared" si="78"/>
        <v>12796887.139435178</v>
      </c>
      <c r="BX61" s="319">
        <f t="shared" si="78"/>
        <v>12796887.139435178</v>
      </c>
      <c r="BY61" s="319">
        <f t="shared" si="78"/>
        <v>12796887.139435178</v>
      </c>
      <c r="BZ61" s="319">
        <f t="shared" si="78"/>
        <v>12796887.139435178</v>
      </c>
      <c r="CA61" s="319">
        <f t="shared" si="78"/>
        <v>12796887.139435178</v>
      </c>
      <c r="CB61" s="319">
        <f t="shared" si="78"/>
        <v>12796887.139435178</v>
      </c>
      <c r="CC61" s="319">
        <f t="shared" si="78"/>
        <v>12796887.139435178</v>
      </c>
      <c r="CD61" s="319">
        <f t="shared" si="78"/>
        <v>12796887.139435178</v>
      </c>
      <c r="CE61" s="319">
        <f t="shared" si="78"/>
        <v>12796887.139435178</v>
      </c>
      <c r="CF61" s="319">
        <f t="shared" si="78"/>
        <v>12796887.139435178</v>
      </c>
      <c r="CG61" s="319">
        <f t="shared" si="78"/>
        <v>12796887.139435178</v>
      </c>
      <c r="CH61" s="319">
        <f t="shared" si="78"/>
        <v>12796887.139435178</v>
      </c>
      <c r="CI61" s="319">
        <f t="shared" si="78"/>
        <v>12796887.139435178</v>
      </c>
      <c r="CJ61" s="319">
        <f t="shared" si="78"/>
        <v>12796887.139435178</v>
      </c>
      <c r="CK61" s="319">
        <f t="shared" si="78"/>
        <v>12796887.139435178</v>
      </c>
      <c r="CL61" s="319">
        <f t="shared" si="78"/>
        <v>12796887.139435178</v>
      </c>
      <c r="CM61" s="319">
        <f t="shared" si="79"/>
        <v>12796887.139435176</v>
      </c>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c r="FP61" s="58"/>
      <c r="FQ61" s="58"/>
      <c r="FR61" s="58"/>
      <c r="FS61" s="58"/>
      <c r="FT61" s="58"/>
      <c r="FU61" s="58"/>
      <c r="FV61" s="58"/>
    </row>
    <row r="62" spans="1:178">
      <c r="A62" s="1047"/>
      <c r="B62" s="1047"/>
      <c r="C62" s="1047"/>
      <c r="D62" s="1047"/>
      <c r="E62" s="1048"/>
      <c r="F62" s="486" t="s">
        <v>186</v>
      </c>
      <c r="G62" s="482">
        <f t="shared" ref="G62:BR62" si="80">G41</f>
        <v>585611689.03351569</v>
      </c>
      <c r="H62" s="482">
        <f t="shared" si="80"/>
        <v>585611689.03351569</v>
      </c>
      <c r="I62" s="482">
        <f t="shared" si="80"/>
        <v>585611689.03351569</v>
      </c>
      <c r="J62" s="482">
        <f t="shared" si="80"/>
        <v>585613575.71806097</v>
      </c>
      <c r="K62" s="482">
        <f t="shared" si="80"/>
        <v>586050994.54568803</v>
      </c>
      <c r="L62" s="482">
        <f t="shared" si="80"/>
        <v>586051623.4405365</v>
      </c>
      <c r="M62" s="482">
        <f t="shared" si="80"/>
        <v>586051623.4405365</v>
      </c>
      <c r="N62" s="482">
        <f t="shared" si="80"/>
        <v>587280193.9073875</v>
      </c>
      <c r="O62" s="482">
        <f t="shared" si="80"/>
        <v>586052252.33538496</v>
      </c>
      <c r="P62" s="482">
        <f t="shared" si="80"/>
        <v>587282552.26306915</v>
      </c>
      <c r="Q62" s="482">
        <f t="shared" si="80"/>
        <v>588510493.83507359</v>
      </c>
      <c r="R62" s="482">
        <f t="shared" si="80"/>
        <v>589738435.40707803</v>
      </c>
      <c r="S62" s="482">
        <f t="shared" si="80"/>
        <v>590967005.87392902</v>
      </c>
      <c r="T62" s="482">
        <f t="shared" si="80"/>
        <v>592197065.64722669</v>
      </c>
      <c r="U62" s="482">
        <f t="shared" si="80"/>
        <v>593425235.4110558</v>
      </c>
      <c r="V62" s="482">
        <f t="shared" si="80"/>
        <v>594754007.01889038</v>
      </c>
      <c r="W62" s="482">
        <f t="shared" si="80"/>
        <v>595945496.41005588</v>
      </c>
      <c r="X62" s="482">
        <f t="shared" si="80"/>
        <v>597136985.80121982</v>
      </c>
      <c r="Y62" s="482">
        <f t="shared" si="80"/>
        <v>598328475.19238555</v>
      </c>
      <c r="Z62" s="482">
        <f t="shared" si="80"/>
        <v>599519964.58355129</v>
      </c>
      <c r="AA62" s="482">
        <f t="shared" si="80"/>
        <v>600711453.97471511</v>
      </c>
      <c r="AB62" s="482">
        <f t="shared" si="80"/>
        <v>601902943.36588085</v>
      </c>
      <c r="AC62" s="482">
        <f t="shared" si="80"/>
        <v>603094432.75704658</v>
      </c>
      <c r="AD62" s="482">
        <f t="shared" si="80"/>
        <v>604285922.14821041</v>
      </c>
      <c r="AE62" s="482">
        <f t="shared" si="80"/>
        <v>605479072.17649579</v>
      </c>
      <c r="AF62" s="482">
        <f t="shared" si="80"/>
        <v>606668900.93053997</v>
      </c>
      <c r="AG62" s="482">
        <f t="shared" si="80"/>
        <v>607860808.45661557</v>
      </c>
      <c r="AH62" s="482">
        <f t="shared" si="80"/>
        <v>609051879.71287131</v>
      </c>
      <c r="AI62" s="482">
        <f t="shared" si="80"/>
        <v>610243369.10403514</v>
      </c>
      <c r="AJ62" s="482">
        <f t="shared" si="80"/>
        <v>611434858.49520087</v>
      </c>
      <c r="AK62" s="482">
        <f t="shared" si="80"/>
        <v>612626347.88636661</v>
      </c>
      <c r="AL62" s="482">
        <f t="shared" si="80"/>
        <v>613817837.27753043</v>
      </c>
      <c r="AM62" s="482">
        <f t="shared" si="80"/>
        <v>615009326.66869617</v>
      </c>
      <c r="AN62" s="482">
        <f t="shared" si="80"/>
        <v>616200816.05985999</v>
      </c>
      <c r="AO62" s="482">
        <f t="shared" si="80"/>
        <v>617392305.45102572</v>
      </c>
      <c r="AP62" s="482">
        <f t="shared" si="80"/>
        <v>618583794.84219134</v>
      </c>
      <c r="AQ62" s="482">
        <f t="shared" si="80"/>
        <v>619775284.23335528</v>
      </c>
      <c r="AR62" s="482">
        <f t="shared" si="80"/>
        <v>620966773.62452102</v>
      </c>
      <c r="AS62" s="482">
        <f t="shared" si="80"/>
        <v>622158263.01568675</v>
      </c>
      <c r="AT62" s="482">
        <f t="shared" si="80"/>
        <v>487360378.26627934</v>
      </c>
      <c r="AU62" s="319">
        <f t="shared" si="80"/>
        <v>593685215.7866534</v>
      </c>
      <c r="AV62" s="319">
        <f t="shared" si="80"/>
        <v>596840820.69807696</v>
      </c>
      <c r="AW62" s="319">
        <f t="shared" si="80"/>
        <v>576610920.14729047</v>
      </c>
      <c r="AX62" s="319">
        <f t="shared" si="80"/>
        <v>626241831.53895569</v>
      </c>
      <c r="AY62" s="319">
        <f t="shared" si="80"/>
        <v>678632486.52945137</v>
      </c>
      <c r="AZ62" s="319">
        <f t="shared" si="80"/>
        <v>693680039.59946072</v>
      </c>
      <c r="BA62" s="319">
        <f t="shared" si="80"/>
        <v>703263646.33744085</v>
      </c>
      <c r="BB62" s="319">
        <f t="shared" si="80"/>
        <v>692570186.59853482</v>
      </c>
      <c r="BC62" s="319">
        <f t="shared" si="80"/>
        <v>741818216.76020801</v>
      </c>
      <c r="BD62" s="319">
        <f t="shared" si="80"/>
        <v>702259858.56839967</v>
      </c>
      <c r="BE62" s="319">
        <f t="shared" si="80"/>
        <v>661293444.65653121</v>
      </c>
      <c r="BF62" s="319">
        <f t="shared" si="80"/>
        <v>654362245.21137512</v>
      </c>
      <c r="BG62" s="319">
        <f t="shared" si="80"/>
        <v>705730728.97777033</v>
      </c>
      <c r="BH62" s="319">
        <f t="shared" si="80"/>
        <v>634887423.21680617</v>
      </c>
      <c r="BI62" s="319">
        <f t="shared" si="80"/>
        <v>566827051.11023867</v>
      </c>
      <c r="BJ62" s="319">
        <f t="shared" si="80"/>
        <v>554924595.74348211</v>
      </c>
      <c r="BK62" s="319">
        <f t="shared" si="80"/>
        <v>586546888.65799999</v>
      </c>
      <c r="BL62" s="319">
        <f t="shared" si="80"/>
        <v>633693619.36047447</v>
      </c>
      <c r="BM62" s="319">
        <f t="shared" si="80"/>
        <v>585294938.69897914</v>
      </c>
      <c r="BN62" s="319">
        <f t="shared" si="80"/>
        <v>568525524.94666028</v>
      </c>
      <c r="BO62" s="319">
        <f t="shared" si="80"/>
        <v>668982953.21524143</v>
      </c>
      <c r="BP62" s="319">
        <f t="shared" si="80"/>
        <v>657961784.37119925</v>
      </c>
      <c r="BQ62" s="319">
        <f t="shared" si="80"/>
        <v>718459110.43637335</v>
      </c>
      <c r="BR62" s="319">
        <f t="shared" si="80"/>
        <v>622547457.66530287</v>
      </c>
      <c r="BS62" s="319">
        <f t="shared" ref="BS62:CL62" si="81">BS41</f>
        <v>598832079.99610019</v>
      </c>
      <c r="BT62" s="319">
        <f t="shared" si="81"/>
        <v>444710144.65783358</v>
      </c>
      <c r="BU62" s="319">
        <f t="shared" si="81"/>
        <v>534369122.700845</v>
      </c>
      <c r="BV62" s="319">
        <f t="shared" si="81"/>
        <v>512434460.79502738</v>
      </c>
      <c r="BW62" s="319">
        <f t="shared" si="81"/>
        <v>387945444.28138983</v>
      </c>
      <c r="BX62" s="319">
        <f t="shared" si="81"/>
        <v>373138227.37729454</v>
      </c>
      <c r="BY62" s="319">
        <f t="shared" si="81"/>
        <v>425903785.41244686</v>
      </c>
      <c r="BZ62" s="319">
        <f t="shared" si="81"/>
        <v>489750863.73656225</v>
      </c>
      <c r="CA62" s="319">
        <f t="shared" si="81"/>
        <v>511381207.91732121</v>
      </c>
      <c r="CB62" s="319">
        <f t="shared" si="81"/>
        <v>557570187.91693258</v>
      </c>
      <c r="CC62" s="319">
        <f t="shared" si="81"/>
        <v>598003174.12531316</v>
      </c>
      <c r="CD62" s="319">
        <f t="shared" si="81"/>
        <v>678696627.20882642</v>
      </c>
      <c r="CE62" s="319">
        <f t="shared" si="81"/>
        <v>788122163.39789057</v>
      </c>
      <c r="CF62" s="319">
        <f t="shared" si="81"/>
        <v>705680977.83974016</v>
      </c>
      <c r="CG62" s="319">
        <f t="shared" si="81"/>
        <v>600546829.18198895</v>
      </c>
      <c r="CH62" s="319">
        <f t="shared" si="81"/>
        <v>595086123.9826355</v>
      </c>
      <c r="CI62" s="319">
        <f t="shared" si="81"/>
        <v>643695091.35908115</v>
      </c>
      <c r="CJ62" s="319">
        <f t="shared" si="81"/>
        <v>718157824.88290548</v>
      </c>
      <c r="CK62" s="319">
        <f t="shared" si="81"/>
        <v>819008076.59619951</v>
      </c>
      <c r="CL62" s="319">
        <f t="shared" si="81"/>
        <v>879469757.79978478</v>
      </c>
      <c r="CM62" s="319">
        <f t="shared" si="79"/>
        <v>609458440.19497406</v>
      </c>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row>
    <row r="63" spans="1:178">
      <c r="A63" s="1047"/>
      <c r="B63" s="1047"/>
      <c r="C63" s="1047"/>
      <c r="D63" s="1047"/>
      <c r="E63" s="1048"/>
      <c r="F63" s="363" t="s">
        <v>187</v>
      </c>
      <c r="G63" s="482">
        <f t="shared" ref="G63:BR63" si="82">G45</f>
        <v>351619601.87425661</v>
      </c>
      <c r="H63" s="482">
        <f t="shared" si="82"/>
        <v>351619601.87425661</v>
      </c>
      <c r="I63" s="482">
        <f t="shared" si="82"/>
        <v>351619601.87425661</v>
      </c>
      <c r="J63" s="482">
        <f t="shared" si="82"/>
        <v>351619601.87425661</v>
      </c>
      <c r="K63" s="482">
        <f t="shared" si="82"/>
        <v>351619601.87425661</v>
      </c>
      <c r="L63" s="482">
        <f t="shared" si="82"/>
        <v>351619601.87425661</v>
      </c>
      <c r="M63" s="482">
        <f t="shared" si="82"/>
        <v>351619601.87425661</v>
      </c>
      <c r="N63" s="482">
        <f t="shared" si="82"/>
        <v>351619601.87425661</v>
      </c>
      <c r="O63" s="482">
        <f t="shared" si="82"/>
        <v>351619601.87425661</v>
      </c>
      <c r="P63" s="482">
        <f t="shared" si="82"/>
        <v>351619601.87425661</v>
      </c>
      <c r="Q63" s="482">
        <f t="shared" si="82"/>
        <v>351619601.87425661</v>
      </c>
      <c r="R63" s="482">
        <f t="shared" si="82"/>
        <v>351619601.87425661</v>
      </c>
      <c r="S63" s="482">
        <f t="shared" si="82"/>
        <v>351619601.87425661</v>
      </c>
      <c r="T63" s="482">
        <f t="shared" si="82"/>
        <v>351619601.87425661</v>
      </c>
      <c r="U63" s="482">
        <f t="shared" si="82"/>
        <v>351619601.87425661</v>
      </c>
      <c r="V63" s="482">
        <f t="shared" si="82"/>
        <v>351619601.87425661</v>
      </c>
      <c r="W63" s="482">
        <f t="shared" si="82"/>
        <v>351619601.87425661</v>
      </c>
      <c r="X63" s="482">
        <f t="shared" si="82"/>
        <v>351619601.87425661</v>
      </c>
      <c r="Y63" s="482">
        <f t="shared" si="82"/>
        <v>351619601.87425661</v>
      </c>
      <c r="Z63" s="482">
        <f t="shared" si="82"/>
        <v>351619601.87425661</v>
      </c>
      <c r="AA63" s="482">
        <f t="shared" si="82"/>
        <v>351619601.87425661</v>
      </c>
      <c r="AB63" s="482">
        <f t="shared" si="82"/>
        <v>351619601.87425661</v>
      </c>
      <c r="AC63" s="482">
        <f t="shared" si="82"/>
        <v>351619601.87425661</v>
      </c>
      <c r="AD63" s="482">
        <f t="shared" si="82"/>
        <v>351619601.87425661</v>
      </c>
      <c r="AE63" s="482">
        <f t="shared" si="82"/>
        <v>351619601.87425661</v>
      </c>
      <c r="AF63" s="482">
        <f t="shared" si="82"/>
        <v>351619601.87425661</v>
      </c>
      <c r="AG63" s="482">
        <f t="shared" si="82"/>
        <v>351619601.87425661</v>
      </c>
      <c r="AH63" s="482">
        <f t="shared" si="82"/>
        <v>351619601.87425661</v>
      </c>
      <c r="AI63" s="482">
        <f t="shared" si="82"/>
        <v>351619601.87425661</v>
      </c>
      <c r="AJ63" s="482">
        <f t="shared" si="82"/>
        <v>351619601.87425661</v>
      </c>
      <c r="AK63" s="482">
        <f t="shared" si="82"/>
        <v>351619601.87425661</v>
      </c>
      <c r="AL63" s="482">
        <f t="shared" si="82"/>
        <v>351619601.87425661</v>
      </c>
      <c r="AM63" s="482">
        <f t="shared" si="82"/>
        <v>351619601.87425661</v>
      </c>
      <c r="AN63" s="482">
        <f t="shared" si="82"/>
        <v>351619601.87425661</v>
      </c>
      <c r="AO63" s="482">
        <f t="shared" si="82"/>
        <v>351619601.87425661</v>
      </c>
      <c r="AP63" s="482">
        <f t="shared" si="82"/>
        <v>351619601.87425661</v>
      </c>
      <c r="AQ63" s="482">
        <f t="shared" si="82"/>
        <v>351619601.87425661</v>
      </c>
      <c r="AR63" s="482">
        <f t="shared" si="82"/>
        <v>351619601.87425661</v>
      </c>
      <c r="AS63" s="482">
        <f t="shared" si="82"/>
        <v>351619601.87425661</v>
      </c>
      <c r="AT63" s="482">
        <f t="shared" si="82"/>
        <v>351619601.87425661</v>
      </c>
      <c r="AU63" s="319">
        <f t="shared" si="82"/>
        <v>351619601.87425661</v>
      </c>
      <c r="AV63" s="319">
        <f t="shared" si="82"/>
        <v>351619601.87425661</v>
      </c>
      <c r="AW63" s="319">
        <f t="shared" si="82"/>
        <v>351619601.87425661</v>
      </c>
      <c r="AX63" s="319">
        <f t="shared" si="82"/>
        <v>351619601.87425661</v>
      </c>
      <c r="AY63" s="319">
        <f t="shared" si="82"/>
        <v>351619601.87425661</v>
      </c>
      <c r="AZ63" s="319">
        <f t="shared" si="82"/>
        <v>351619601.87425661</v>
      </c>
      <c r="BA63" s="319">
        <f t="shared" si="82"/>
        <v>351619601.87425661</v>
      </c>
      <c r="BB63" s="319">
        <f t="shared" si="82"/>
        <v>351619601.87425661</v>
      </c>
      <c r="BC63" s="319">
        <f t="shared" si="82"/>
        <v>351619601.87425661</v>
      </c>
      <c r="BD63" s="319">
        <f t="shared" si="82"/>
        <v>351619601.87425661</v>
      </c>
      <c r="BE63" s="319">
        <f t="shared" si="82"/>
        <v>351619601.87425661</v>
      </c>
      <c r="BF63" s="319">
        <f t="shared" si="82"/>
        <v>351619601.87425661</v>
      </c>
      <c r="BG63" s="319">
        <f t="shared" si="82"/>
        <v>351619601.87425661</v>
      </c>
      <c r="BH63" s="319">
        <f t="shared" si="82"/>
        <v>351619601.87425661</v>
      </c>
      <c r="BI63" s="319">
        <f t="shared" si="82"/>
        <v>351619601.87425661</v>
      </c>
      <c r="BJ63" s="319">
        <f t="shared" si="82"/>
        <v>351619601.87425661</v>
      </c>
      <c r="BK63" s="319">
        <f t="shared" si="82"/>
        <v>351619601.87425661</v>
      </c>
      <c r="BL63" s="319">
        <f t="shared" si="82"/>
        <v>351619601.87425661</v>
      </c>
      <c r="BM63" s="319">
        <f t="shared" si="82"/>
        <v>351619601.87425661</v>
      </c>
      <c r="BN63" s="319">
        <f t="shared" si="82"/>
        <v>351619601.87425661</v>
      </c>
      <c r="BO63" s="319">
        <f t="shared" si="82"/>
        <v>351619601.87425661</v>
      </c>
      <c r="BP63" s="319">
        <f t="shared" si="82"/>
        <v>351619601.87425661</v>
      </c>
      <c r="BQ63" s="319">
        <f t="shared" si="82"/>
        <v>351619601.87425661</v>
      </c>
      <c r="BR63" s="319">
        <f t="shared" si="82"/>
        <v>351619601.87425661</v>
      </c>
      <c r="BS63" s="319">
        <f t="shared" ref="BS63:CL63" si="83">BS45</f>
        <v>351619601.87425661</v>
      </c>
      <c r="BT63" s="319">
        <f t="shared" si="83"/>
        <v>351619601.87425661</v>
      </c>
      <c r="BU63" s="319">
        <f t="shared" si="83"/>
        <v>351619601.87425661</v>
      </c>
      <c r="BV63" s="319">
        <f t="shared" si="83"/>
        <v>351619601.87425661</v>
      </c>
      <c r="BW63" s="319">
        <f t="shared" si="83"/>
        <v>351619601.87425661</v>
      </c>
      <c r="BX63" s="319">
        <f t="shared" si="83"/>
        <v>351619601.87425661</v>
      </c>
      <c r="BY63" s="319">
        <f t="shared" si="83"/>
        <v>351619601.87425661</v>
      </c>
      <c r="BZ63" s="319">
        <f t="shared" si="83"/>
        <v>351619601.87425661</v>
      </c>
      <c r="CA63" s="319">
        <f t="shared" si="83"/>
        <v>351619601.87425661</v>
      </c>
      <c r="CB63" s="319">
        <f t="shared" si="83"/>
        <v>351619601.87425661</v>
      </c>
      <c r="CC63" s="319">
        <f t="shared" si="83"/>
        <v>351619601.87425661</v>
      </c>
      <c r="CD63" s="319">
        <f t="shared" si="83"/>
        <v>351619601.87425661</v>
      </c>
      <c r="CE63" s="319">
        <f t="shared" si="83"/>
        <v>351619601.87425661</v>
      </c>
      <c r="CF63" s="319">
        <f t="shared" si="83"/>
        <v>351619601.87425661</v>
      </c>
      <c r="CG63" s="319">
        <f t="shared" si="83"/>
        <v>351619601.87425661</v>
      </c>
      <c r="CH63" s="319">
        <f t="shared" si="83"/>
        <v>351619601.87425661</v>
      </c>
      <c r="CI63" s="319">
        <f t="shared" si="83"/>
        <v>351619601.87425661</v>
      </c>
      <c r="CJ63" s="319">
        <f t="shared" si="83"/>
        <v>351619601.87425661</v>
      </c>
      <c r="CK63" s="319">
        <f t="shared" si="83"/>
        <v>351619601.87425661</v>
      </c>
      <c r="CL63" s="319">
        <f t="shared" si="83"/>
        <v>351619601.87425661</v>
      </c>
      <c r="CM63" s="319">
        <f t="shared" si="79"/>
        <v>351619601.87425625</v>
      </c>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c r="FP63" s="58"/>
      <c r="FQ63" s="58"/>
      <c r="FR63" s="58"/>
      <c r="FS63" s="58"/>
      <c r="FT63" s="58"/>
      <c r="FU63" s="58"/>
      <c r="FV63" s="58"/>
    </row>
    <row r="64" spans="1:178">
      <c r="A64" s="1047"/>
      <c r="B64" s="1047"/>
      <c r="C64" s="1047"/>
      <c r="D64" s="1047"/>
      <c r="E64" s="1048"/>
      <c r="F64" s="363" t="s">
        <v>188</v>
      </c>
      <c r="G64" s="482">
        <f t="shared" ref="G64:BR64" si="84">G44</f>
        <v>889886210.556247</v>
      </c>
      <c r="H64" s="482">
        <f t="shared" si="84"/>
        <v>889886210.556247</v>
      </c>
      <c r="I64" s="482">
        <f t="shared" si="84"/>
        <v>889886210.556247</v>
      </c>
      <c r="J64" s="482">
        <f t="shared" si="84"/>
        <v>889886210.556247</v>
      </c>
      <c r="K64" s="482">
        <f t="shared" si="84"/>
        <v>889886210.556247</v>
      </c>
      <c r="L64" s="482">
        <f t="shared" si="84"/>
        <v>889886210.556247</v>
      </c>
      <c r="M64" s="482">
        <f t="shared" si="84"/>
        <v>889886210.556247</v>
      </c>
      <c r="N64" s="482">
        <f t="shared" si="84"/>
        <v>889886210.556247</v>
      </c>
      <c r="O64" s="482">
        <f t="shared" si="84"/>
        <v>889886210.556247</v>
      </c>
      <c r="P64" s="482">
        <f t="shared" si="84"/>
        <v>889886210.556247</v>
      </c>
      <c r="Q64" s="482">
        <f t="shared" si="84"/>
        <v>889886210.556247</v>
      </c>
      <c r="R64" s="482">
        <f t="shared" si="84"/>
        <v>889886210.556247</v>
      </c>
      <c r="S64" s="482">
        <f t="shared" si="84"/>
        <v>889886210.556247</v>
      </c>
      <c r="T64" s="482">
        <f t="shared" si="84"/>
        <v>889886210.556247</v>
      </c>
      <c r="U64" s="482">
        <f t="shared" si="84"/>
        <v>889886210.556247</v>
      </c>
      <c r="V64" s="482">
        <f t="shared" si="84"/>
        <v>889886210.556247</v>
      </c>
      <c r="W64" s="482">
        <f t="shared" si="84"/>
        <v>889886210.556247</v>
      </c>
      <c r="X64" s="482">
        <f t="shared" si="84"/>
        <v>889886210.556247</v>
      </c>
      <c r="Y64" s="482">
        <f t="shared" si="84"/>
        <v>889886210.556247</v>
      </c>
      <c r="Z64" s="482">
        <f t="shared" si="84"/>
        <v>889886210.556247</v>
      </c>
      <c r="AA64" s="482">
        <f t="shared" si="84"/>
        <v>889886210.556247</v>
      </c>
      <c r="AB64" s="482">
        <f t="shared" si="84"/>
        <v>889886210.556247</v>
      </c>
      <c r="AC64" s="482">
        <f t="shared" si="84"/>
        <v>889886210.556247</v>
      </c>
      <c r="AD64" s="482">
        <f t="shared" si="84"/>
        <v>889886210.556247</v>
      </c>
      <c r="AE64" s="482">
        <f t="shared" si="84"/>
        <v>889886210.556247</v>
      </c>
      <c r="AF64" s="482">
        <f t="shared" si="84"/>
        <v>889886210.556247</v>
      </c>
      <c r="AG64" s="482">
        <f t="shared" si="84"/>
        <v>889886210.556247</v>
      </c>
      <c r="AH64" s="482">
        <f t="shared" si="84"/>
        <v>889886210.556247</v>
      </c>
      <c r="AI64" s="482">
        <f t="shared" si="84"/>
        <v>889886210.556247</v>
      </c>
      <c r="AJ64" s="482">
        <f t="shared" si="84"/>
        <v>889886210.556247</v>
      </c>
      <c r="AK64" s="482">
        <f t="shared" si="84"/>
        <v>889886210.556247</v>
      </c>
      <c r="AL64" s="482">
        <f t="shared" si="84"/>
        <v>889886210.556247</v>
      </c>
      <c r="AM64" s="482">
        <f t="shared" si="84"/>
        <v>889886210.556247</v>
      </c>
      <c r="AN64" s="482">
        <f t="shared" si="84"/>
        <v>889886210.556247</v>
      </c>
      <c r="AO64" s="482">
        <f t="shared" si="84"/>
        <v>889886210.556247</v>
      </c>
      <c r="AP64" s="482">
        <f t="shared" si="84"/>
        <v>889886210.556247</v>
      </c>
      <c r="AQ64" s="482">
        <f t="shared" si="84"/>
        <v>889886210.556247</v>
      </c>
      <c r="AR64" s="482">
        <f t="shared" si="84"/>
        <v>889886210.556247</v>
      </c>
      <c r="AS64" s="482">
        <f t="shared" si="84"/>
        <v>889886210.556247</v>
      </c>
      <c r="AT64" s="482">
        <f t="shared" si="84"/>
        <v>889886210.556247</v>
      </c>
      <c r="AU64" s="319">
        <f t="shared" si="84"/>
        <v>889886210.556247</v>
      </c>
      <c r="AV64" s="319">
        <f t="shared" si="84"/>
        <v>889886210.556247</v>
      </c>
      <c r="AW64" s="319">
        <f t="shared" si="84"/>
        <v>889886210.556247</v>
      </c>
      <c r="AX64" s="319">
        <f t="shared" si="84"/>
        <v>889886210.556247</v>
      </c>
      <c r="AY64" s="319">
        <f t="shared" si="84"/>
        <v>889886210.556247</v>
      </c>
      <c r="AZ64" s="319">
        <f t="shared" si="84"/>
        <v>889886210.556247</v>
      </c>
      <c r="BA64" s="319">
        <f t="shared" si="84"/>
        <v>889886210.556247</v>
      </c>
      <c r="BB64" s="319">
        <f t="shared" si="84"/>
        <v>889886210.556247</v>
      </c>
      <c r="BC64" s="319">
        <f t="shared" si="84"/>
        <v>889886210.556247</v>
      </c>
      <c r="BD64" s="319">
        <f t="shared" si="84"/>
        <v>889886210.556247</v>
      </c>
      <c r="BE64" s="319">
        <f t="shared" si="84"/>
        <v>889886210.556247</v>
      </c>
      <c r="BF64" s="319">
        <f t="shared" si="84"/>
        <v>889886210.556247</v>
      </c>
      <c r="BG64" s="319">
        <f t="shared" si="84"/>
        <v>889886210.556247</v>
      </c>
      <c r="BH64" s="319">
        <f t="shared" si="84"/>
        <v>889886210.556247</v>
      </c>
      <c r="BI64" s="319">
        <f t="shared" si="84"/>
        <v>889886210.556247</v>
      </c>
      <c r="BJ64" s="319">
        <f t="shared" si="84"/>
        <v>889886210.556247</v>
      </c>
      <c r="BK64" s="319">
        <f t="shared" si="84"/>
        <v>889886210.556247</v>
      </c>
      <c r="BL64" s="319">
        <f t="shared" si="84"/>
        <v>889886210.556247</v>
      </c>
      <c r="BM64" s="319">
        <f t="shared" si="84"/>
        <v>889886210.556247</v>
      </c>
      <c r="BN64" s="319">
        <f t="shared" si="84"/>
        <v>889886210.556247</v>
      </c>
      <c r="BO64" s="319">
        <f t="shared" si="84"/>
        <v>889886210.556247</v>
      </c>
      <c r="BP64" s="319">
        <f t="shared" si="84"/>
        <v>889886210.556247</v>
      </c>
      <c r="BQ64" s="319">
        <f t="shared" si="84"/>
        <v>889886210.556247</v>
      </c>
      <c r="BR64" s="319">
        <f t="shared" si="84"/>
        <v>889886210.556247</v>
      </c>
      <c r="BS64" s="319">
        <f t="shared" ref="BS64:CL64" si="85">BS44</f>
        <v>889886210.556247</v>
      </c>
      <c r="BT64" s="319">
        <f t="shared" si="85"/>
        <v>889886210.556247</v>
      </c>
      <c r="BU64" s="319">
        <f t="shared" si="85"/>
        <v>889886210.556247</v>
      </c>
      <c r="BV64" s="319">
        <f t="shared" si="85"/>
        <v>889886210.556247</v>
      </c>
      <c r="BW64" s="319">
        <f t="shared" si="85"/>
        <v>889886210.556247</v>
      </c>
      <c r="BX64" s="319">
        <f t="shared" si="85"/>
        <v>889886210.556247</v>
      </c>
      <c r="BY64" s="319">
        <f t="shared" si="85"/>
        <v>889886210.556247</v>
      </c>
      <c r="BZ64" s="319">
        <f t="shared" si="85"/>
        <v>889886210.556247</v>
      </c>
      <c r="CA64" s="319">
        <f t="shared" si="85"/>
        <v>889886210.556247</v>
      </c>
      <c r="CB64" s="319">
        <f t="shared" si="85"/>
        <v>889886210.556247</v>
      </c>
      <c r="CC64" s="319">
        <f t="shared" si="85"/>
        <v>889886210.556247</v>
      </c>
      <c r="CD64" s="319">
        <f t="shared" si="85"/>
        <v>889886210.556247</v>
      </c>
      <c r="CE64" s="319">
        <f t="shared" si="85"/>
        <v>889886210.556247</v>
      </c>
      <c r="CF64" s="319">
        <f t="shared" si="85"/>
        <v>889886210.556247</v>
      </c>
      <c r="CG64" s="319">
        <f t="shared" si="85"/>
        <v>889886210.556247</v>
      </c>
      <c r="CH64" s="319">
        <f t="shared" si="85"/>
        <v>889886210.556247</v>
      </c>
      <c r="CI64" s="319">
        <f t="shared" si="85"/>
        <v>889886210.556247</v>
      </c>
      <c r="CJ64" s="319">
        <f t="shared" si="85"/>
        <v>889886210.556247</v>
      </c>
      <c r="CK64" s="319">
        <f t="shared" si="85"/>
        <v>889886210.556247</v>
      </c>
      <c r="CL64" s="319">
        <f t="shared" si="85"/>
        <v>889886210.556247</v>
      </c>
      <c r="CM64" s="319">
        <f t="shared" si="79"/>
        <v>889886210.55624557</v>
      </c>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c r="FP64" s="58"/>
      <c r="FQ64" s="58"/>
      <c r="FR64" s="58"/>
      <c r="FS64" s="58"/>
      <c r="FT64" s="58"/>
      <c r="FU64" s="58"/>
      <c r="FV64" s="58"/>
    </row>
    <row r="65" spans="1:178">
      <c r="A65" s="1047"/>
      <c r="B65" s="1047"/>
      <c r="C65" s="1047"/>
      <c r="D65" s="1047"/>
      <c r="E65" s="1048"/>
      <c r="F65" s="363" t="s">
        <v>189</v>
      </c>
      <c r="G65" s="482">
        <f t="shared" ref="G65:AS65" si="86">SUM(G60:G64)</f>
        <v>1846429798.6675496</v>
      </c>
      <c r="H65" s="482">
        <f t="shared" si="86"/>
        <v>1846429798.6675496</v>
      </c>
      <c r="I65" s="482">
        <f t="shared" si="86"/>
        <v>1846429798.6675496</v>
      </c>
      <c r="J65" s="482">
        <f t="shared" si="86"/>
        <v>1846431685.3520949</v>
      </c>
      <c r="K65" s="482">
        <f t="shared" si="86"/>
        <v>1846869104.1797218</v>
      </c>
      <c r="L65" s="482">
        <f t="shared" si="86"/>
        <v>1846869733.0745704</v>
      </c>
      <c r="M65" s="482">
        <f t="shared" si="86"/>
        <v>1846869733.0745704</v>
      </c>
      <c r="N65" s="482">
        <f t="shared" si="86"/>
        <v>1848098303.5414214</v>
      </c>
      <c r="O65" s="482">
        <f t="shared" si="86"/>
        <v>1846870361.969419</v>
      </c>
      <c r="P65" s="482">
        <f t="shared" si="86"/>
        <v>1848100661.8971031</v>
      </c>
      <c r="Q65" s="482">
        <f t="shared" si="86"/>
        <v>1849328603.4691076</v>
      </c>
      <c r="R65" s="482">
        <f t="shared" si="86"/>
        <v>1850556545.0411119</v>
      </c>
      <c r="S65" s="482">
        <f t="shared" si="86"/>
        <v>1851785115.5079629</v>
      </c>
      <c r="T65" s="482">
        <f t="shared" si="86"/>
        <v>1853015175.2812605</v>
      </c>
      <c r="U65" s="482">
        <f t="shared" si="86"/>
        <v>1854243345.0450897</v>
      </c>
      <c r="V65" s="482">
        <f t="shared" si="86"/>
        <v>1855572116.6529243</v>
      </c>
      <c r="W65" s="482">
        <f t="shared" si="86"/>
        <v>1856763606.0440898</v>
      </c>
      <c r="X65" s="482">
        <f t="shared" si="86"/>
        <v>1857955095.4352536</v>
      </c>
      <c r="Y65" s="482">
        <f t="shared" si="86"/>
        <v>1859146584.8264194</v>
      </c>
      <c r="Z65" s="482">
        <f t="shared" si="86"/>
        <v>1860338074.2175851</v>
      </c>
      <c r="AA65" s="482">
        <f t="shared" si="86"/>
        <v>1861529563.6087489</v>
      </c>
      <c r="AB65" s="482">
        <f t="shared" si="86"/>
        <v>1862721052.9999146</v>
      </c>
      <c r="AC65" s="482">
        <f t="shared" si="86"/>
        <v>1863912542.3910804</v>
      </c>
      <c r="AD65" s="482">
        <f t="shared" si="86"/>
        <v>1865104031.7822442</v>
      </c>
      <c r="AE65" s="482">
        <f t="shared" si="86"/>
        <v>1866297181.8105297</v>
      </c>
      <c r="AF65" s="482">
        <f t="shared" si="86"/>
        <v>1867487010.5645738</v>
      </c>
      <c r="AG65" s="482">
        <f t="shared" si="86"/>
        <v>1868678918.0906496</v>
      </c>
      <c r="AH65" s="482">
        <f t="shared" si="86"/>
        <v>1869869989.3469052</v>
      </c>
      <c r="AI65" s="482">
        <f t="shared" si="86"/>
        <v>1871061478.7380691</v>
      </c>
      <c r="AJ65" s="482">
        <f t="shared" si="86"/>
        <v>1872252968.1292348</v>
      </c>
      <c r="AK65" s="482">
        <f t="shared" si="86"/>
        <v>1873444457.5204005</v>
      </c>
      <c r="AL65" s="482">
        <f t="shared" si="86"/>
        <v>1874635946.9115644</v>
      </c>
      <c r="AM65" s="482">
        <f t="shared" si="86"/>
        <v>1875827436.3027301</v>
      </c>
      <c r="AN65" s="482">
        <f t="shared" si="86"/>
        <v>1877018925.6938939</v>
      </c>
      <c r="AO65" s="482">
        <f t="shared" si="86"/>
        <v>1878210415.0850596</v>
      </c>
      <c r="AP65" s="482">
        <f t="shared" si="86"/>
        <v>1879401904.4762254</v>
      </c>
      <c r="AQ65" s="482">
        <f t="shared" si="86"/>
        <v>1880593393.8673892</v>
      </c>
      <c r="AR65" s="482">
        <f t="shared" si="86"/>
        <v>1881784883.2585549</v>
      </c>
      <c r="AS65" s="482">
        <f t="shared" si="86"/>
        <v>1882976372.6497207</v>
      </c>
      <c r="AT65" s="482">
        <f>SUM(AT60:AT64)</f>
        <v>1748178487.9003134</v>
      </c>
      <c r="AU65" s="319">
        <f>SUM(AU60:AU64)</f>
        <v>1854503325.4206872</v>
      </c>
      <c r="AV65" s="319">
        <f t="shared" ref="AV65:CL65" si="87">SUM(AV60:AV64)</f>
        <v>1857658930.3321109</v>
      </c>
      <c r="AW65" s="319">
        <f t="shared" si="87"/>
        <v>1837429029.7813244</v>
      </c>
      <c r="AX65" s="319">
        <f t="shared" si="87"/>
        <v>1887059941.1729896</v>
      </c>
      <c r="AY65" s="319">
        <f t="shared" si="87"/>
        <v>1939450596.1634853</v>
      </c>
      <c r="AZ65" s="319">
        <f t="shared" si="87"/>
        <v>1954498149.2334948</v>
      </c>
      <c r="BA65" s="319">
        <f t="shared" si="87"/>
        <v>1964081755.9714749</v>
      </c>
      <c r="BB65" s="319">
        <f t="shared" si="87"/>
        <v>1953388296.2325687</v>
      </c>
      <c r="BC65" s="319">
        <f t="shared" si="87"/>
        <v>2002636326.394242</v>
      </c>
      <c r="BD65" s="319">
        <f t="shared" si="87"/>
        <v>1963077968.2024336</v>
      </c>
      <c r="BE65" s="319">
        <f t="shared" si="87"/>
        <v>1922111554.290565</v>
      </c>
      <c r="BF65" s="319">
        <f t="shared" si="87"/>
        <v>1915180354.8454089</v>
      </c>
      <c r="BG65" s="319">
        <f t="shared" si="87"/>
        <v>1966548838.6118042</v>
      </c>
      <c r="BH65" s="319">
        <f t="shared" si="87"/>
        <v>1895705532.8508401</v>
      </c>
      <c r="BI65" s="319">
        <f t="shared" si="87"/>
        <v>1827645160.7442727</v>
      </c>
      <c r="BJ65" s="319">
        <f t="shared" si="87"/>
        <v>1815742705.377516</v>
      </c>
      <c r="BK65" s="319">
        <f t="shared" si="87"/>
        <v>1847364998.2920339</v>
      </c>
      <c r="BL65" s="319">
        <f t="shared" si="87"/>
        <v>1894511728.9945083</v>
      </c>
      <c r="BM65" s="319">
        <f t="shared" si="87"/>
        <v>1846113048.3330131</v>
      </c>
      <c r="BN65" s="319">
        <f t="shared" si="87"/>
        <v>1829343634.5806942</v>
      </c>
      <c r="BO65" s="319">
        <f t="shared" si="87"/>
        <v>1929801062.8492754</v>
      </c>
      <c r="BP65" s="319">
        <f t="shared" si="87"/>
        <v>1918779894.0052333</v>
      </c>
      <c r="BQ65" s="319">
        <f t="shared" si="87"/>
        <v>1979277220.0704072</v>
      </c>
      <c r="BR65" s="319">
        <f t="shared" si="87"/>
        <v>1883365567.2993369</v>
      </c>
      <c r="BS65" s="319">
        <f t="shared" si="87"/>
        <v>1859650189.6301341</v>
      </c>
      <c r="BT65" s="319">
        <f t="shared" si="87"/>
        <v>1705528254.2918675</v>
      </c>
      <c r="BU65" s="319">
        <f t="shared" si="87"/>
        <v>1795187232.3348789</v>
      </c>
      <c r="BV65" s="319">
        <f t="shared" si="87"/>
        <v>1773252570.4290614</v>
      </c>
      <c r="BW65" s="319">
        <f t="shared" si="87"/>
        <v>1648763553.9154239</v>
      </c>
      <c r="BX65" s="319">
        <f t="shared" si="87"/>
        <v>1633956337.0113285</v>
      </c>
      <c r="BY65" s="319">
        <f t="shared" si="87"/>
        <v>1686721895.0464809</v>
      </c>
      <c r="BZ65" s="319">
        <f t="shared" si="87"/>
        <v>1750568973.3705962</v>
      </c>
      <c r="CA65" s="319">
        <f t="shared" si="87"/>
        <v>1772199317.5513551</v>
      </c>
      <c r="CB65" s="319">
        <f t="shared" si="87"/>
        <v>1818388297.5509665</v>
      </c>
      <c r="CC65" s="319">
        <f t="shared" si="87"/>
        <v>1858821283.759347</v>
      </c>
      <c r="CD65" s="319">
        <f t="shared" si="87"/>
        <v>1939514736.8428602</v>
      </c>
      <c r="CE65" s="319">
        <f t="shared" si="87"/>
        <v>2048940273.0319245</v>
      </c>
      <c r="CF65" s="319">
        <f t="shared" si="87"/>
        <v>1966499087.4737742</v>
      </c>
      <c r="CG65" s="319">
        <f t="shared" si="87"/>
        <v>1861364938.8160229</v>
      </c>
      <c r="CH65" s="319">
        <f t="shared" si="87"/>
        <v>1855904233.6166694</v>
      </c>
      <c r="CI65" s="319">
        <f t="shared" si="87"/>
        <v>1904513200.9931149</v>
      </c>
      <c r="CJ65" s="319">
        <f t="shared" si="87"/>
        <v>1978975934.5169394</v>
      </c>
      <c r="CK65" s="319">
        <f t="shared" si="87"/>
        <v>2079826186.2302334</v>
      </c>
      <c r="CL65" s="319">
        <f t="shared" si="87"/>
        <v>2140287867.4338186</v>
      </c>
      <c r="CM65" s="319">
        <f t="shared" si="79"/>
        <v>1870276549.8290074</v>
      </c>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row>
    <row r="66" spans="1:178">
      <c r="A66" s="1047"/>
      <c r="B66" s="1047"/>
      <c r="C66" s="1047"/>
      <c r="D66" s="1047"/>
      <c r="E66" s="1048"/>
      <c r="F66" s="363" t="s">
        <v>190</v>
      </c>
      <c r="G66" s="482">
        <f t="shared" ref="G66:BR66" si="88">(0.101511101973684*G17*0.85*G3/0.685)+(0.20964*G16*0.5/0.82)</f>
        <v>264232975.94423348</v>
      </c>
      <c r="H66" s="482">
        <f t="shared" si="88"/>
        <v>220436242.69847563</v>
      </c>
      <c r="I66" s="482">
        <f t="shared" si="88"/>
        <v>202131881.7784602</v>
      </c>
      <c r="J66" s="482">
        <f t="shared" si="88"/>
        <v>154646000.29732379</v>
      </c>
      <c r="K66" s="482">
        <f t="shared" si="88"/>
        <v>163562824.52519771</v>
      </c>
      <c r="L66" s="482">
        <f t="shared" si="88"/>
        <v>183044397.51130563</v>
      </c>
      <c r="M66" s="482">
        <f t="shared" si="88"/>
        <v>169053554.78005236</v>
      </c>
      <c r="N66" s="482">
        <f t="shared" si="88"/>
        <v>173707247.67726973</v>
      </c>
      <c r="O66" s="482">
        <f t="shared" si="88"/>
        <v>151434070.91700709</v>
      </c>
      <c r="P66" s="482">
        <f t="shared" si="88"/>
        <v>147268854.23512062</v>
      </c>
      <c r="Q66" s="482">
        <f t="shared" si="88"/>
        <v>139177885.25787273</v>
      </c>
      <c r="R66" s="482">
        <f t="shared" si="88"/>
        <v>122160724.51553436</v>
      </c>
      <c r="S66" s="482">
        <f t="shared" si="88"/>
        <v>137210657.34900051</v>
      </c>
      <c r="T66" s="482">
        <f t="shared" si="88"/>
        <v>153089883.89205441</v>
      </c>
      <c r="U66" s="482">
        <f t="shared" si="88"/>
        <v>179285849.60908931</v>
      </c>
      <c r="V66" s="482">
        <f t="shared" si="88"/>
        <v>136266255.52706578</v>
      </c>
      <c r="W66" s="482">
        <f t="shared" si="88"/>
        <v>113797444.4438038</v>
      </c>
      <c r="X66" s="482">
        <f t="shared" si="88"/>
        <v>113136425.00813374</v>
      </c>
      <c r="Y66" s="482">
        <f t="shared" si="88"/>
        <v>124613594.3248117</v>
      </c>
      <c r="Z66" s="482">
        <f t="shared" si="88"/>
        <v>127380516.38739513</v>
      </c>
      <c r="AA66" s="482">
        <f t="shared" si="88"/>
        <v>129819853.59690313</v>
      </c>
      <c r="AB66" s="482">
        <f t="shared" si="88"/>
        <v>115675207.61946824</v>
      </c>
      <c r="AC66" s="482">
        <f t="shared" si="88"/>
        <v>111685692.08737122</v>
      </c>
      <c r="AD66" s="482">
        <f t="shared" si="88"/>
        <v>115277426.01216237</v>
      </c>
      <c r="AE66" s="482">
        <f t="shared" si="88"/>
        <v>132791516.19265868</v>
      </c>
      <c r="AF66" s="482">
        <f t="shared" si="88"/>
        <v>154804048.3734228</v>
      </c>
      <c r="AG66" s="482">
        <f t="shared" si="88"/>
        <v>150715087.43949929</v>
      </c>
      <c r="AH66" s="482">
        <f t="shared" si="88"/>
        <v>173230696.35891491</v>
      </c>
      <c r="AI66" s="482">
        <f t="shared" si="88"/>
        <v>199601277.03148586</v>
      </c>
      <c r="AJ66" s="482">
        <f t="shared" si="88"/>
        <v>184590871.08520877</v>
      </c>
      <c r="AK66" s="482">
        <f t="shared" si="88"/>
        <v>162051863.24771637</v>
      </c>
      <c r="AL66" s="482">
        <f t="shared" si="88"/>
        <v>145099347.10106361</v>
      </c>
      <c r="AM66" s="482">
        <f t="shared" si="88"/>
        <v>145157844.39625564</v>
      </c>
      <c r="AN66" s="482">
        <f t="shared" si="88"/>
        <v>129890050.35113358</v>
      </c>
      <c r="AO66" s="482">
        <f t="shared" si="88"/>
        <v>157237535.85341159</v>
      </c>
      <c r="AP66" s="482">
        <f t="shared" si="88"/>
        <v>181121981.4803209</v>
      </c>
      <c r="AQ66" s="482">
        <f t="shared" si="88"/>
        <v>218642146.61649442</v>
      </c>
      <c r="AR66" s="482">
        <f t="shared" si="88"/>
        <v>218063023.39409319</v>
      </c>
      <c r="AS66" s="482">
        <f t="shared" si="88"/>
        <v>221379820.0314818</v>
      </c>
      <c r="AT66" s="482">
        <f t="shared" si="88"/>
        <v>219788693.60225835</v>
      </c>
      <c r="AU66" s="319">
        <f t="shared" si="88"/>
        <v>198214891.13543454</v>
      </c>
      <c r="AV66" s="319">
        <f t="shared" si="88"/>
        <v>182718957.63906354</v>
      </c>
      <c r="AW66" s="319">
        <f t="shared" si="88"/>
        <v>182859351.14752448</v>
      </c>
      <c r="AX66" s="319">
        <f t="shared" si="88"/>
        <v>197349131.16659239</v>
      </c>
      <c r="AY66" s="319">
        <f t="shared" si="88"/>
        <v>222532216.74676496</v>
      </c>
      <c r="AZ66" s="319">
        <f t="shared" si="88"/>
        <v>222900749.70647481</v>
      </c>
      <c r="BA66" s="319">
        <f t="shared" si="88"/>
        <v>236963499.47064087</v>
      </c>
      <c r="BB66" s="319">
        <f t="shared" si="88"/>
        <v>253091203.75508586</v>
      </c>
      <c r="BC66" s="319">
        <f t="shared" si="88"/>
        <v>281286900.0376485</v>
      </c>
      <c r="BD66" s="319">
        <f t="shared" si="88"/>
        <v>225076849.08761859</v>
      </c>
      <c r="BE66" s="319">
        <f t="shared" si="88"/>
        <v>184315933.79780623</v>
      </c>
      <c r="BF66" s="319">
        <f t="shared" si="88"/>
        <v>178027474.56466207</v>
      </c>
      <c r="BG66" s="319">
        <f t="shared" si="88"/>
        <v>183157687.35300383</v>
      </c>
      <c r="BH66" s="319">
        <f t="shared" si="88"/>
        <v>198975355.97293106</v>
      </c>
      <c r="BI66" s="319">
        <f t="shared" si="88"/>
        <v>209013491.82788485</v>
      </c>
      <c r="BJ66" s="319">
        <f t="shared" si="88"/>
        <v>214272398.66564912</v>
      </c>
      <c r="BK66" s="319">
        <f t="shared" si="88"/>
        <v>174687279.00919664</v>
      </c>
      <c r="BL66" s="319">
        <f t="shared" si="88"/>
        <v>150978325.26786345</v>
      </c>
      <c r="BM66" s="319">
        <f t="shared" si="88"/>
        <v>153961687.32265744</v>
      </c>
      <c r="BN66" s="319">
        <f t="shared" si="88"/>
        <v>145467880.06077343</v>
      </c>
      <c r="BO66" s="319">
        <f t="shared" si="88"/>
        <v>174201751.45910275</v>
      </c>
      <c r="BP66" s="319">
        <f t="shared" si="88"/>
        <v>180104128.54397947</v>
      </c>
      <c r="BQ66" s="319">
        <f t="shared" si="88"/>
        <v>183257132.7548303</v>
      </c>
      <c r="BR66" s="319">
        <f t="shared" si="88"/>
        <v>235559564.38603196</v>
      </c>
      <c r="BS66" s="319">
        <f t="shared" ref="BS66:CL66" si="89">(0.101511101973684*BS17*0.85*BS3/0.685)+(0.20964*BS16*0.5/0.82)</f>
        <v>212312739.27671582</v>
      </c>
      <c r="BT66" s="319">
        <f t="shared" si="89"/>
        <v>188217703.38711518</v>
      </c>
      <c r="BU66" s="319">
        <f t="shared" si="89"/>
        <v>102484067.55366354</v>
      </c>
      <c r="BV66" s="319">
        <f t="shared" si="89"/>
        <v>150668289.60334563</v>
      </c>
      <c r="BW66" s="319">
        <f t="shared" si="89"/>
        <v>155125783.496979</v>
      </c>
      <c r="BX66" s="319">
        <f t="shared" si="89"/>
        <v>157717213.67398632</v>
      </c>
      <c r="BY66" s="319">
        <f t="shared" si="89"/>
        <v>158869610.38926944</v>
      </c>
      <c r="BZ66" s="319">
        <f t="shared" si="89"/>
        <v>156869002.89370173</v>
      </c>
      <c r="CA66" s="319">
        <f t="shared" si="89"/>
        <v>161624832.99281445</v>
      </c>
      <c r="CB66" s="319">
        <f t="shared" si="89"/>
        <v>186468634.26087323</v>
      </c>
      <c r="CC66" s="319">
        <f t="shared" si="89"/>
        <v>193646252.38093632</v>
      </c>
      <c r="CD66" s="319">
        <f t="shared" si="89"/>
        <v>235126684.40161085</v>
      </c>
      <c r="CE66" s="319">
        <f t="shared" si="89"/>
        <v>258315012.2157349</v>
      </c>
      <c r="CF66" s="319">
        <f t="shared" si="89"/>
        <v>266188748.14858329</v>
      </c>
      <c r="CG66" s="319">
        <f t="shared" si="89"/>
        <v>244059221.37743512</v>
      </c>
      <c r="CH66" s="319">
        <f t="shared" si="89"/>
        <v>211236389.04518232</v>
      </c>
      <c r="CI66" s="319">
        <f t="shared" si="89"/>
        <v>228697831.66000581</v>
      </c>
      <c r="CJ66" s="319">
        <f t="shared" si="89"/>
        <v>270102217.19693071</v>
      </c>
      <c r="CK66" s="319">
        <f t="shared" si="89"/>
        <v>285568902.04570568</v>
      </c>
      <c r="CL66" s="319">
        <f t="shared" si="89"/>
        <v>286522407.95733589</v>
      </c>
      <c r="CM66" s="319">
        <f t="shared" si="79"/>
        <v>182393531.58794859</v>
      </c>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row>
    <row r="67" spans="1:178">
      <c r="A67" s="1047"/>
      <c r="B67" s="1047"/>
      <c r="C67" s="1047"/>
      <c r="D67" s="1047"/>
      <c r="E67" s="1048"/>
      <c r="F67" s="363" t="s">
        <v>191</v>
      </c>
      <c r="G67" s="482">
        <f t="shared" ref="G67:BR67" si="90">G46+G47+G48+G49+G65+G66</f>
        <v>12538181327.404411</v>
      </c>
      <c r="H67" s="482">
        <f t="shared" si="90"/>
        <v>11432040733.157852</v>
      </c>
      <c r="I67" s="482">
        <f t="shared" si="90"/>
        <v>10155293203.920736</v>
      </c>
      <c r="J67" s="482">
        <f t="shared" si="90"/>
        <v>8604564459.0706902</v>
      </c>
      <c r="K67" s="482">
        <f t="shared" si="90"/>
        <v>9627746549.7967758</v>
      </c>
      <c r="L67" s="482">
        <f t="shared" si="90"/>
        <v>9849314988.0175972</v>
      </c>
      <c r="M67" s="482">
        <f t="shared" si="90"/>
        <v>9927919234.9788055</v>
      </c>
      <c r="N67" s="482">
        <f t="shared" si="90"/>
        <v>10282467842.944366</v>
      </c>
      <c r="O67" s="482">
        <f t="shared" si="90"/>
        <v>9809945808.2391167</v>
      </c>
      <c r="P67" s="482">
        <f t="shared" si="90"/>
        <v>9093602459.7765102</v>
      </c>
      <c r="Q67" s="482">
        <f t="shared" si="90"/>
        <v>8565285242.2536926</v>
      </c>
      <c r="R67" s="482">
        <f t="shared" si="90"/>
        <v>8566153191.1528931</v>
      </c>
      <c r="S67" s="482">
        <f t="shared" si="90"/>
        <v>8889961735.0320244</v>
      </c>
      <c r="T67" s="482">
        <f t="shared" si="90"/>
        <v>9179068939.0361462</v>
      </c>
      <c r="U67" s="482">
        <f t="shared" si="90"/>
        <v>9102796425.7232037</v>
      </c>
      <c r="V67" s="482">
        <f t="shared" si="90"/>
        <v>7872213500.5714054</v>
      </c>
      <c r="W67" s="482">
        <f t="shared" si="90"/>
        <v>7411670672.2733326</v>
      </c>
      <c r="X67" s="482">
        <f t="shared" si="90"/>
        <v>7712857539.1869135</v>
      </c>
      <c r="Y67" s="482">
        <f t="shared" si="90"/>
        <v>8046349568.6193428</v>
      </c>
      <c r="Z67" s="482">
        <f t="shared" si="90"/>
        <v>8277909319.2388506</v>
      </c>
      <c r="AA67" s="482">
        <f t="shared" si="90"/>
        <v>8429678642.2628059</v>
      </c>
      <c r="AB67" s="482">
        <f t="shared" si="90"/>
        <v>7894747083.9940834</v>
      </c>
      <c r="AC67" s="482">
        <f t="shared" si="90"/>
        <v>7664255873.0257387</v>
      </c>
      <c r="AD67" s="482">
        <f t="shared" si="90"/>
        <v>7955295708.9686728</v>
      </c>
      <c r="AE67" s="482">
        <f t="shared" si="90"/>
        <v>8532561509.6374798</v>
      </c>
      <c r="AF67" s="482">
        <f t="shared" si="90"/>
        <v>8855933816.6968498</v>
      </c>
      <c r="AG67" s="482">
        <f t="shared" si="90"/>
        <v>9174600986.7124329</v>
      </c>
      <c r="AH67" s="482">
        <f t="shared" si="90"/>
        <v>9845746020.831707</v>
      </c>
      <c r="AI67" s="482">
        <f t="shared" si="90"/>
        <v>10221851714.245966</v>
      </c>
      <c r="AJ67" s="482">
        <f t="shared" si="90"/>
        <v>9482612534.6324387</v>
      </c>
      <c r="AK67" s="482">
        <f t="shared" si="90"/>
        <v>9166172437.6048946</v>
      </c>
      <c r="AL67" s="482">
        <f t="shared" si="90"/>
        <v>8610264531.0163898</v>
      </c>
      <c r="AM67" s="482">
        <f t="shared" si="90"/>
        <v>8325254109.5539856</v>
      </c>
      <c r="AN67" s="482">
        <f t="shared" si="90"/>
        <v>8196814244.2031727</v>
      </c>
      <c r="AO67" s="482">
        <f t="shared" si="90"/>
        <v>8912301825.1600342</v>
      </c>
      <c r="AP67" s="482">
        <f t="shared" si="90"/>
        <v>9635143315.775301</v>
      </c>
      <c r="AQ67" s="482">
        <f t="shared" si="90"/>
        <v>10434591560.02043</v>
      </c>
      <c r="AR67" s="482">
        <f t="shared" si="90"/>
        <v>10945978494.216921</v>
      </c>
      <c r="AS67" s="482">
        <f t="shared" si="90"/>
        <v>10945040893.178991</v>
      </c>
      <c r="AT67" s="482">
        <f t="shared" si="90"/>
        <v>10862962304.2586</v>
      </c>
      <c r="AU67" s="319">
        <f t="shared" si="90"/>
        <v>10358325462.810946</v>
      </c>
      <c r="AV67" s="319">
        <f t="shared" si="90"/>
        <v>10299637862.212833</v>
      </c>
      <c r="AW67" s="319">
        <f t="shared" si="90"/>
        <v>10682414903.415691</v>
      </c>
      <c r="AX67" s="319">
        <f t="shared" si="90"/>
        <v>11710783273.974342</v>
      </c>
      <c r="AY67" s="319">
        <f t="shared" si="90"/>
        <v>11841279061.318789</v>
      </c>
      <c r="AZ67" s="319">
        <f t="shared" si="90"/>
        <v>12074872106.533108</v>
      </c>
      <c r="BA67" s="319">
        <f t="shared" si="90"/>
        <v>12383354897.838888</v>
      </c>
      <c r="BB67" s="319">
        <f t="shared" si="90"/>
        <v>13131520032.44462</v>
      </c>
      <c r="BC67" s="319">
        <f t="shared" si="90"/>
        <v>13643684628.166948</v>
      </c>
      <c r="BD67" s="319">
        <f t="shared" si="90"/>
        <v>11080253363.179781</v>
      </c>
      <c r="BE67" s="319">
        <f t="shared" si="90"/>
        <v>9926148509.265028</v>
      </c>
      <c r="BF67" s="319">
        <f t="shared" si="90"/>
        <v>9864865976.3475227</v>
      </c>
      <c r="BG67" s="319">
        <f t="shared" si="90"/>
        <v>10481312609.628038</v>
      </c>
      <c r="BH67" s="319">
        <f t="shared" si="90"/>
        <v>10804736175.634043</v>
      </c>
      <c r="BI67" s="319">
        <f t="shared" si="90"/>
        <v>11232058251.102541</v>
      </c>
      <c r="BJ67" s="319">
        <f t="shared" si="90"/>
        <v>11003838983.835314</v>
      </c>
      <c r="BK67" s="319">
        <f t="shared" si="90"/>
        <v>9729988974.0594769</v>
      </c>
      <c r="BL67" s="319">
        <f t="shared" si="90"/>
        <v>9760020629.9449959</v>
      </c>
      <c r="BM67" s="319">
        <f t="shared" si="90"/>
        <v>9470699460.679884</v>
      </c>
      <c r="BN67" s="319">
        <f t="shared" si="90"/>
        <v>9650205409.9867992</v>
      </c>
      <c r="BO67" s="319">
        <f t="shared" si="90"/>
        <v>10166059380.134165</v>
      </c>
      <c r="BP67" s="319">
        <f t="shared" si="90"/>
        <v>10565005827.083958</v>
      </c>
      <c r="BQ67" s="319">
        <f t="shared" si="90"/>
        <v>10928821430.955002</v>
      </c>
      <c r="BR67" s="319">
        <f t="shared" si="90"/>
        <v>11391322485.12499</v>
      </c>
      <c r="BS67" s="319">
        <f t="shared" ref="BS67:CL67" si="91">BS46+BS47+BS48+BS49+BS65+BS66</f>
        <v>10452968339.200661</v>
      </c>
      <c r="BT67" s="319">
        <f t="shared" si="91"/>
        <v>8062782249.7833471</v>
      </c>
      <c r="BU67" s="319">
        <f t="shared" si="91"/>
        <v>5394480200.216424</v>
      </c>
      <c r="BV67" s="319">
        <f t="shared" si="91"/>
        <v>6930002869.4157143</v>
      </c>
      <c r="BW67" s="319">
        <f t="shared" si="91"/>
        <v>8342904461.5996552</v>
      </c>
      <c r="BX67" s="319">
        <f t="shared" si="91"/>
        <v>8713196011.391592</v>
      </c>
      <c r="BY67" s="319">
        <f t="shared" si="91"/>
        <v>8693698917.8000584</v>
      </c>
      <c r="BZ67" s="319">
        <f t="shared" si="91"/>
        <v>8723924919.7502308</v>
      </c>
      <c r="CA67" s="319">
        <f t="shared" si="91"/>
        <v>8664043189.4304409</v>
      </c>
      <c r="CB67" s="319">
        <f t="shared" si="91"/>
        <v>8987833175.1511078</v>
      </c>
      <c r="CC67" s="319">
        <f t="shared" si="91"/>
        <v>9700868775.8014832</v>
      </c>
      <c r="CD67" s="319">
        <f t="shared" si="91"/>
        <v>11039063317.036308</v>
      </c>
      <c r="CE67" s="319">
        <f t="shared" si="91"/>
        <v>11976473068.875536</v>
      </c>
      <c r="CF67" s="319">
        <f t="shared" si="91"/>
        <v>12230349273.868994</v>
      </c>
      <c r="CG67" s="319">
        <f t="shared" si="91"/>
        <v>11699654299.024073</v>
      </c>
      <c r="CH67" s="319">
        <f t="shared" si="91"/>
        <v>11490038448.81661</v>
      </c>
      <c r="CI67" s="319">
        <f t="shared" si="91"/>
        <v>12281751302.723942</v>
      </c>
      <c r="CJ67" s="319">
        <f t="shared" si="91"/>
        <v>13411273088.18354</v>
      </c>
      <c r="CK67" s="319">
        <f t="shared" si="91"/>
        <v>13258511870.237072</v>
      </c>
      <c r="CL67" s="319">
        <f t="shared" si="91"/>
        <v>13689058382.220303</v>
      </c>
      <c r="CM67" s="319">
        <f t="shared" si="79"/>
        <v>9940014716.6975803</v>
      </c>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row>
    <row r="68" spans="1:178" ht="63.75" customHeight="1">
      <c r="A68" s="1047"/>
      <c r="B68" s="1047"/>
      <c r="C68" s="1047"/>
      <c r="D68" s="1047"/>
      <c r="E68" s="1048"/>
      <c r="F68" s="420" t="s">
        <v>192</v>
      </c>
      <c r="G68" s="621">
        <f t="shared" ref="G68:BR68" si="92">G67-G54-G55</f>
        <v>8452328463.476882</v>
      </c>
      <c r="H68" s="621">
        <f t="shared" si="92"/>
        <v>7618239832.4264164</v>
      </c>
      <c r="I68" s="621">
        <f t="shared" si="92"/>
        <v>6571777683.000329</v>
      </c>
      <c r="J68" s="621">
        <f t="shared" si="92"/>
        <v>5309616971.0548286</v>
      </c>
      <c r="K68" s="621">
        <f t="shared" si="92"/>
        <v>6169898325.5444832</v>
      </c>
      <c r="L68" s="621">
        <f t="shared" si="92"/>
        <v>6300098398.5430117</v>
      </c>
      <c r="M68" s="621">
        <f t="shared" si="92"/>
        <v>6403262608.9929199</v>
      </c>
      <c r="N68" s="621">
        <f t="shared" si="92"/>
        <v>6646320730.5358982</v>
      </c>
      <c r="O68" s="621">
        <f t="shared" si="92"/>
        <v>6351332718.3814287</v>
      </c>
      <c r="P68" s="621">
        <f t="shared" si="92"/>
        <v>5721492374.0584545</v>
      </c>
      <c r="Q68" s="621">
        <f t="shared" si="92"/>
        <v>5346343053.2504139</v>
      </c>
      <c r="R68" s="621">
        <f t="shared" si="92"/>
        <v>5455113629.0041027</v>
      </c>
      <c r="S68" s="621">
        <f t="shared" si="92"/>
        <v>5687956515.1752129</v>
      </c>
      <c r="T68" s="621">
        <f t="shared" si="92"/>
        <v>5923649019.171032</v>
      </c>
      <c r="U68" s="621">
        <f t="shared" si="92"/>
        <v>5936666023.465867</v>
      </c>
      <c r="V68" s="621">
        <f t="shared" si="92"/>
        <v>4879485911.3921309</v>
      </c>
      <c r="W68" s="621">
        <f t="shared" si="92"/>
        <v>4670504990.2032118</v>
      </c>
      <c r="X68" s="621">
        <f t="shared" si="92"/>
        <v>4903365250.9294872</v>
      </c>
      <c r="Y68" s="621">
        <f t="shared" si="92"/>
        <v>5083201894.924284</v>
      </c>
      <c r="Z68" s="621">
        <f t="shared" si="92"/>
        <v>5279208209.7895222</v>
      </c>
      <c r="AA68" s="621">
        <f t="shared" si="92"/>
        <v>5384356319.397459</v>
      </c>
      <c r="AB68" s="621">
        <f t="shared" si="92"/>
        <v>4915509809.1261349</v>
      </c>
      <c r="AC68" s="621">
        <f t="shared" si="92"/>
        <v>4715787492.1141062</v>
      </c>
      <c r="AD68" s="621">
        <f t="shared" si="92"/>
        <v>4993483555.1140356</v>
      </c>
      <c r="AE68" s="621">
        <f t="shared" si="92"/>
        <v>5449412233.1635838</v>
      </c>
      <c r="AF68" s="621">
        <f t="shared" si="92"/>
        <v>5701605032.6627331</v>
      </c>
      <c r="AG68" s="621">
        <f t="shared" si="92"/>
        <v>5909137682.7451363</v>
      </c>
      <c r="AH68" s="621">
        <f t="shared" si="92"/>
        <v>6386190653.5791292</v>
      </c>
      <c r="AI68" s="621">
        <f t="shared" si="92"/>
        <v>6548227488.4865875</v>
      </c>
      <c r="AJ68" s="621">
        <f t="shared" si="92"/>
        <v>5986623866.6500645</v>
      </c>
      <c r="AK68" s="621">
        <f t="shared" si="92"/>
        <v>5639718597.6814661</v>
      </c>
      <c r="AL68" s="621">
        <f t="shared" si="92"/>
        <v>5247071737.9941492</v>
      </c>
      <c r="AM68" s="621">
        <f t="shared" si="92"/>
        <v>5046058568.9387321</v>
      </c>
      <c r="AN68" s="621">
        <f t="shared" si="92"/>
        <v>4923666004.7273684</v>
      </c>
      <c r="AO68" s="621">
        <f t="shared" si="92"/>
        <v>5560926849.104414</v>
      </c>
      <c r="AP68" s="621">
        <f t="shared" si="92"/>
        <v>6145988390.2679453</v>
      </c>
      <c r="AQ68" s="621">
        <f t="shared" si="92"/>
        <v>6756633578.0230093</v>
      </c>
      <c r="AR68" s="621">
        <f t="shared" si="92"/>
        <v>7257975528.0372801</v>
      </c>
      <c r="AS68" s="621">
        <f t="shared" si="92"/>
        <v>7163181189.7268238</v>
      </c>
      <c r="AT68" s="621">
        <f t="shared" si="92"/>
        <v>7022901764.166748</v>
      </c>
      <c r="AU68" s="419">
        <f t="shared" si="92"/>
        <v>6504312890.1800079</v>
      </c>
      <c r="AV68" s="419">
        <f t="shared" si="92"/>
        <v>6407857542.0062037</v>
      </c>
      <c r="AW68" s="419">
        <f t="shared" si="92"/>
        <v>6685156876.3327045</v>
      </c>
      <c r="AX68" s="419">
        <f t="shared" si="92"/>
        <v>7495212460.763546</v>
      </c>
      <c r="AY68" s="419">
        <f t="shared" si="92"/>
        <v>7211855366.2406769</v>
      </c>
      <c r="AZ68" s="419">
        <f t="shared" si="92"/>
        <v>7432911983.644413</v>
      </c>
      <c r="BA68" s="419">
        <f t="shared" si="92"/>
        <v>7675430002.8482084</v>
      </c>
      <c r="BB68" s="419">
        <f t="shared" si="92"/>
        <v>8140317290.3412743</v>
      </c>
      <c r="BC68" s="419">
        <f t="shared" si="92"/>
        <v>8605657937.018713</v>
      </c>
      <c r="BD68" s="419">
        <f t="shared" si="92"/>
        <v>6768200538.9220142</v>
      </c>
      <c r="BE68" s="419">
        <f t="shared" si="92"/>
        <v>6266288668.623642</v>
      </c>
      <c r="BF68" s="419">
        <f t="shared" si="92"/>
        <v>6382609470.6052046</v>
      </c>
      <c r="BG68" s="419">
        <f t="shared" si="92"/>
        <v>6896577525.8575516</v>
      </c>
      <c r="BH68" s="419">
        <f t="shared" si="92"/>
        <v>7070381355.8196325</v>
      </c>
      <c r="BI68" s="419">
        <f t="shared" si="92"/>
        <v>7421109264.301693</v>
      </c>
      <c r="BJ68" s="419">
        <f t="shared" si="92"/>
        <v>7251356785.6394463</v>
      </c>
      <c r="BK68" s="419">
        <f t="shared" si="92"/>
        <v>6183261180.5033188</v>
      </c>
      <c r="BL68" s="419">
        <f t="shared" si="92"/>
        <v>6268446016.9565964</v>
      </c>
      <c r="BM68" s="419">
        <f t="shared" si="92"/>
        <v>5920266781.9875345</v>
      </c>
      <c r="BN68" s="419">
        <f t="shared" si="92"/>
        <v>6026504841.241168</v>
      </c>
      <c r="BO68" s="419">
        <f t="shared" si="92"/>
        <v>6322739449.4370899</v>
      </c>
      <c r="BP68" s="419">
        <f t="shared" si="92"/>
        <v>6765691246.4472933</v>
      </c>
      <c r="BQ68" s="419">
        <f t="shared" si="92"/>
        <v>7269488343.2898235</v>
      </c>
      <c r="BR68" s="419">
        <f t="shared" si="92"/>
        <v>7464702749.1132507</v>
      </c>
      <c r="BS68" s="419">
        <f t="shared" ref="BS68:CL68" si="93">BS67-BS54-BS55</f>
        <v>6688879475.7454891</v>
      </c>
      <c r="BT68" s="419">
        <f t="shared" si="93"/>
        <v>4929272149.7185068</v>
      </c>
      <c r="BU68" s="419">
        <f t="shared" si="93"/>
        <v>3249887773.088891</v>
      </c>
      <c r="BV68" s="419">
        <f t="shared" si="93"/>
        <v>5033430997.7866268</v>
      </c>
      <c r="BW68" s="419">
        <f t="shared" si="93"/>
        <v>6059017452.1353588</v>
      </c>
      <c r="BX68" s="419">
        <f t="shared" si="93"/>
        <v>6104670196.2041521</v>
      </c>
      <c r="BY68" s="419">
        <f t="shared" si="93"/>
        <v>5993301346.2095184</v>
      </c>
      <c r="BZ68" s="419">
        <f t="shared" si="93"/>
        <v>5884384602.6647129</v>
      </c>
      <c r="CA68" s="419">
        <f t="shared" si="93"/>
        <v>5744820312.441349</v>
      </c>
      <c r="CB68" s="419">
        <f t="shared" si="93"/>
        <v>5841260826.1464052</v>
      </c>
      <c r="CC68" s="419">
        <f t="shared" si="93"/>
        <v>6094355513.4485893</v>
      </c>
      <c r="CD68" s="419">
        <f t="shared" si="93"/>
        <v>7126370215.7991486</v>
      </c>
      <c r="CE68" s="419">
        <f t="shared" si="93"/>
        <v>8078440084.7717609</v>
      </c>
      <c r="CF68" s="419">
        <f t="shared" si="93"/>
        <v>8104839891.3863621</v>
      </c>
      <c r="CG68" s="419">
        <f t="shared" si="93"/>
        <v>7329969970.4951897</v>
      </c>
      <c r="CH68" s="419">
        <f t="shared" si="93"/>
        <v>7194540217.7940912</v>
      </c>
      <c r="CI68" s="419">
        <f t="shared" si="93"/>
        <v>7725608686.1198349</v>
      </c>
      <c r="CJ68" s="419">
        <f t="shared" si="93"/>
        <v>8473262082.7726068</v>
      </c>
      <c r="CK68" s="419">
        <f t="shared" si="93"/>
        <v>8022412399.3098545</v>
      </c>
      <c r="CL68" s="419">
        <f t="shared" si="93"/>
        <v>8422597453.605155</v>
      </c>
      <c r="CM68" s="419">
        <f>AVERAGE(G68:CL68)</f>
        <v>6357166394.771327</v>
      </c>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row>
    <row r="69" spans="1:178">
      <c r="A69" s="58"/>
      <c r="B69" s="58"/>
      <c r="C69" s="58"/>
      <c r="D69" s="58"/>
      <c r="E69" s="58"/>
      <c r="F69" s="487" t="s">
        <v>344</v>
      </c>
      <c r="G69" s="488">
        <f t="shared" ref="G69:BR69" si="94">G68*G52/G16</f>
        <v>50571.946980883447</v>
      </c>
      <c r="H69" s="488">
        <f t="shared" si="94"/>
        <v>46194.713659985609</v>
      </c>
      <c r="I69" s="488">
        <f t="shared" si="94"/>
        <v>40378.581784351547</v>
      </c>
      <c r="J69" s="488">
        <f t="shared" si="94"/>
        <v>33186.192874945795</v>
      </c>
      <c r="K69" s="488">
        <f t="shared" si="94"/>
        <v>38000.52532668745</v>
      </c>
      <c r="L69" s="488">
        <f t="shared" si="94"/>
        <v>38773.53126464432</v>
      </c>
      <c r="M69" s="488">
        <f t="shared" si="94"/>
        <v>39323.408530038447</v>
      </c>
      <c r="N69" s="488">
        <f t="shared" si="94"/>
        <v>40692.105789366025</v>
      </c>
      <c r="O69" s="488">
        <f t="shared" si="94"/>
        <v>38905.348066115635</v>
      </c>
      <c r="P69" s="488">
        <f t="shared" si="94"/>
        <v>35361.933937100235</v>
      </c>
      <c r="Q69" s="488">
        <f t="shared" si="94"/>
        <v>33340.059418133569</v>
      </c>
      <c r="R69" s="488">
        <f t="shared" si="94"/>
        <v>34003.563959380124</v>
      </c>
      <c r="S69" s="488">
        <f t="shared" si="94"/>
        <v>35280.732227382789</v>
      </c>
      <c r="T69" s="488">
        <f t="shared" si="94"/>
        <v>36636.19571580374</v>
      </c>
      <c r="U69" s="488">
        <f t="shared" si="94"/>
        <v>36499.802106892079</v>
      </c>
      <c r="V69" s="488">
        <f t="shared" si="94"/>
        <v>30523.782133219855</v>
      </c>
      <c r="W69" s="488">
        <f t="shared" si="94"/>
        <v>29448.149730169756</v>
      </c>
      <c r="X69" s="488">
        <f t="shared" si="94"/>
        <v>30666.887609644771</v>
      </c>
      <c r="Y69" s="488">
        <f t="shared" si="94"/>
        <v>31316.695017338832</v>
      </c>
      <c r="Z69" s="488">
        <f t="shared" si="94"/>
        <v>32419.075858319804</v>
      </c>
      <c r="AA69" s="488">
        <f t="shared" si="94"/>
        <v>33007.546040129491</v>
      </c>
      <c r="AB69" s="488">
        <f t="shared" si="94"/>
        <v>30386.15659583313</v>
      </c>
      <c r="AC69" s="488">
        <f t="shared" si="94"/>
        <v>29256.721109268747</v>
      </c>
      <c r="AD69" s="488">
        <f t="shared" si="94"/>
        <v>30827.993972366225</v>
      </c>
      <c r="AE69" s="488">
        <f t="shared" si="94"/>
        <v>33158.67350253644</v>
      </c>
      <c r="AF69" s="488">
        <f t="shared" si="94"/>
        <v>34616.397427827433</v>
      </c>
      <c r="AG69" s="488">
        <f t="shared" si="94"/>
        <v>35744.06379571923</v>
      </c>
      <c r="AH69" s="488">
        <f t="shared" si="94"/>
        <v>38432.183028484658</v>
      </c>
      <c r="AI69" s="488">
        <f t="shared" si="94"/>
        <v>39283.118673827317</v>
      </c>
      <c r="AJ69" s="488">
        <f t="shared" si="94"/>
        <v>36091.155924122701</v>
      </c>
      <c r="AK69" s="488">
        <f t="shared" si="94"/>
        <v>34071.901117088026</v>
      </c>
      <c r="AL69" s="488">
        <f t="shared" si="94"/>
        <v>31890.032049188085</v>
      </c>
      <c r="AM69" s="488">
        <f t="shared" si="94"/>
        <v>30791.692907444671</v>
      </c>
      <c r="AN69" s="488">
        <f t="shared" si="94"/>
        <v>30053.246911919028</v>
      </c>
      <c r="AO69" s="488">
        <f t="shared" si="94"/>
        <v>33679.190729676018</v>
      </c>
      <c r="AP69" s="488">
        <f t="shared" si="94"/>
        <v>36996.764074831437</v>
      </c>
      <c r="AQ69" s="488">
        <f t="shared" si="94"/>
        <v>40630.17178179371</v>
      </c>
      <c r="AR69" s="488">
        <f t="shared" si="94"/>
        <v>43442.418276779797</v>
      </c>
      <c r="AS69" s="488">
        <f t="shared" si="94"/>
        <v>42881.290059757077</v>
      </c>
      <c r="AT69" s="488">
        <f t="shared" si="94"/>
        <v>42006.730026639707</v>
      </c>
      <c r="AU69" s="489">
        <f t="shared" si="94"/>
        <v>39105.660701275847</v>
      </c>
      <c r="AV69" s="489">
        <f t="shared" si="94"/>
        <v>38490.605395190963</v>
      </c>
      <c r="AW69" s="489">
        <f t="shared" si="94"/>
        <v>40097.114392236865</v>
      </c>
      <c r="AX69" s="489">
        <f t="shared" si="94"/>
        <v>44682.349592852275</v>
      </c>
      <c r="AY69" s="489">
        <f t="shared" si="94"/>
        <v>43033.821256639108</v>
      </c>
      <c r="AZ69" s="489">
        <f t="shared" si="94"/>
        <v>44298.757207386894</v>
      </c>
      <c r="BA69" s="489">
        <f t="shared" si="94"/>
        <v>45704.305094063973</v>
      </c>
      <c r="BB69" s="489">
        <f t="shared" si="94"/>
        <v>48323.638406232545</v>
      </c>
      <c r="BC69" s="489">
        <f t="shared" si="94"/>
        <v>51163.112443953396</v>
      </c>
      <c r="BD69" s="489">
        <f t="shared" si="94"/>
        <v>40835.490769153781</v>
      </c>
      <c r="BE69" s="489">
        <f t="shared" si="94"/>
        <v>38182.322802812108</v>
      </c>
      <c r="BF69" s="489">
        <f t="shared" si="94"/>
        <v>38869.205045626295</v>
      </c>
      <c r="BG69" s="489">
        <f t="shared" si="94"/>
        <v>41729.123107549633</v>
      </c>
      <c r="BH69" s="489">
        <f t="shared" si="94"/>
        <v>42613.222802107703</v>
      </c>
      <c r="BI69" s="489">
        <f t="shared" si="94"/>
        <v>44698.070705867096</v>
      </c>
      <c r="BJ69" s="489">
        <f t="shared" si="94"/>
        <v>43779.464827355951</v>
      </c>
      <c r="BK69" s="489">
        <f t="shared" si="94"/>
        <v>37739.371159890317</v>
      </c>
      <c r="BL69" s="489">
        <f t="shared" si="94"/>
        <v>38194.402142739178</v>
      </c>
      <c r="BM69" s="489">
        <f t="shared" si="94"/>
        <v>36229.978710587435</v>
      </c>
      <c r="BN69" s="489">
        <f t="shared" si="94"/>
        <v>36765.229297694219</v>
      </c>
      <c r="BO69" s="489">
        <f t="shared" si="94"/>
        <v>38272.79108459453</v>
      </c>
      <c r="BP69" s="489">
        <f t="shared" si="94"/>
        <v>40826.572542522284</v>
      </c>
      <c r="BQ69" s="489">
        <f t="shared" si="94"/>
        <v>43740.400439390971</v>
      </c>
      <c r="BR69" s="489">
        <f t="shared" si="94"/>
        <v>44811.982806402848</v>
      </c>
      <c r="BS69" s="489">
        <f t="shared" ref="BS69:CL69" si="95">BS68*BS52/BS16</f>
        <v>40430.521693536299</v>
      </c>
      <c r="BT69" s="489">
        <f t="shared" si="95"/>
        <v>30677.403589276364</v>
      </c>
      <c r="BU69" s="489">
        <f t="shared" si="95"/>
        <v>21289.444702088877</v>
      </c>
      <c r="BV69" s="489">
        <f t="shared" si="95"/>
        <v>31578.620514009875</v>
      </c>
      <c r="BW69" s="489">
        <f t="shared" si="95"/>
        <v>37003.406941034096</v>
      </c>
      <c r="BX69" s="489">
        <f t="shared" si="95"/>
        <v>37079.251350952443</v>
      </c>
      <c r="BY69" s="489">
        <f t="shared" si="95"/>
        <v>36439.720328138079</v>
      </c>
      <c r="BZ69" s="489">
        <f t="shared" si="95"/>
        <v>35799.000223840478</v>
      </c>
      <c r="CA69" s="489">
        <f t="shared" si="95"/>
        <v>34700.503193690303</v>
      </c>
      <c r="CB69" s="489">
        <f t="shared" si="95"/>
        <v>35265.76487833538</v>
      </c>
      <c r="CC69" s="489">
        <f t="shared" si="95"/>
        <v>36540.311332665311</v>
      </c>
      <c r="CD69" s="489">
        <f t="shared" si="95"/>
        <v>42362.54460509729</v>
      </c>
      <c r="CE69" s="489">
        <f t="shared" si="95"/>
        <v>47817.580642244378</v>
      </c>
      <c r="CF69" s="489">
        <f t="shared" si="95"/>
        <v>47893.548442297972</v>
      </c>
      <c r="CG69" s="489">
        <f t="shared" si="95"/>
        <v>43398.011673987916</v>
      </c>
      <c r="CH69" s="489">
        <f t="shared" si="95"/>
        <v>42571.611553312621</v>
      </c>
      <c r="CI69" s="489">
        <f t="shared" si="95"/>
        <v>45558.333989302715</v>
      </c>
      <c r="CJ69" s="489">
        <f t="shared" si="95"/>
        <v>49803.93169487235</v>
      </c>
      <c r="CK69" s="489">
        <f t="shared" si="95"/>
        <v>47252.091377743542</v>
      </c>
      <c r="CL69" s="489">
        <f t="shared" si="95"/>
        <v>49527.425387193063</v>
      </c>
      <c r="CM69" s="489">
        <f>AVERAGE(G69:CL69)</f>
        <v>38499.365486230745</v>
      </c>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c r="FI69" s="58"/>
      <c r="FJ69" s="58"/>
      <c r="FK69" s="58"/>
      <c r="FL69" s="58"/>
      <c r="FM69" s="58"/>
      <c r="FN69" s="58"/>
      <c r="FO69" s="58"/>
      <c r="FP69" s="58"/>
      <c r="FQ69" s="58"/>
      <c r="FR69" s="58"/>
      <c r="FS69" s="58"/>
      <c r="FT69" s="58"/>
      <c r="FU69" s="58"/>
      <c r="FV69" s="58"/>
    </row>
    <row r="70" spans="1:178">
      <c r="A70" s="58"/>
      <c r="B70" s="58"/>
      <c r="C70" s="58"/>
      <c r="D70" s="58"/>
      <c r="E70" s="58"/>
      <c r="F70" s="487" t="s">
        <v>345</v>
      </c>
      <c r="G70" s="488">
        <f t="shared" ref="G70:BR70" si="96">G53*G68/G17</f>
        <v>64421.68080723504</v>
      </c>
      <c r="H70" s="488">
        <f t="shared" si="96"/>
        <v>56464.381703655279</v>
      </c>
      <c r="I70" s="488">
        <f t="shared" si="96"/>
        <v>47327.326212640197</v>
      </c>
      <c r="J70" s="488">
        <f t="shared" si="96"/>
        <v>36769.833614462979</v>
      </c>
      <c r="K70" s="488">
        <f t="shared" si="96"/>
        <v>44195.24243621785</v>
      </c>
      <c r="L70" s="488">
        <f t="shared" si="96"/>
        <v>45203.268861315002</v>
      </c>
      <c r="M70" s="488">
        <f t="shared" si="96"/>
        <v>46165.344108726713</v>
      </c>
      <c r="N70" s="488">
        <f t="shared" si="96"/>
        <v>48241.123728962499</v>
      </c>
      <c r="O70" s="488">
        <f t="shared" si="96"/>
        <v>46049.634699764239</v>
      </c>
      <c r="P70" s="488">
        <f t="shared" si="96"/>
        <v>40661.991401617088</v>
      </c>
      <c r="Q70" s="488">
        <f t="shared" si="96"/>
        <v>37221.614958342252</v>
      </c>
      <c r="R70" s="488">
        <f t="shared" si="96"/>
        <v>38017.481570770731</v>
      </c>
      <c r="S70" s="488">
        <f t="shared" si="96"/>
        <v>40094.741376216327</v>
      </c>
      <c r="T70" s="488">
        <f t="shared" si="96"/>
        <v>42033.929730676587</v>
      </c>
      <c r="U70" s="488">
        <f t="shared" si="96"/>
        <v>42692.195452129199</v>
      </c>
      <c r="V70" s="488">
        <f t="shared" si="96"/>
        <v>33723.291159799308</v>
      </c>
      <c r="W70" s="488">
        <f t="shared" si="96"/>
        <v>31674.582462660597</v>
      </c>
      <c r="X70" s="488">
        <f t="shared" si="96"/>
        <v>33904.692075406769</v>
      </c>
      <c r="Y70" s="488">
        <f t="shared" si="96"/>
        <v>36387.30591677854</v>
      </c>
      <c r="Z70" s="488">
        <f t="shared" si="96"/>
        <v>38064.800531915433</v>
      </c>
      <c r="AA70" s="488">
        <f t="shared" si="96"/>
        <v>38972.276079778807</v>
      </c>
      <c r="AB70" s="488">
        <f t="shared" si="96"/>
        <v>34919.268521143837</v>
      </c>
      <c r="AC70" s="488">
        <f t="shared" si="96"/>
        <v>33226.029685531939</v>
      </c>
      <c r="AD70" s="488">
        <f t="shared" si="96"/>
        <v>35577.995836735099</v>
      </c>
      <c r="AE70" s="488">
        <f t="shared" si="96"/>
        <v>40089.364070914547</v>
      </c>
      <c r="AF70" s="488">
        <f t="shared" si="96"/>
        <v>42145.088553587957</v>
      </c>
      <c r="AG70" s="488">
        <f t="shared" si="96"/>
        <v>44024.393179145918</v>
      </c>
      <c r="AH70" s="488">
        <f t="shared" si="96"/>
        <v>48093.954239392522</v>
      </c>
      <c r="AI70" s="488">
        <f t="shared" si="96"/>
        <v>49638.293893898306</v>
      </c>
      <c r="AJ70" s="488">
        <f t="shared" si="96"/>
        <v>44918.985846468066</v>
      </c>
      <c r="AK70" s="488">
        <f t="shared" si="96"/>
        <v>42127.942003355573</v>
      </c>
      <c r="AL70" s="488">
        <f t="shared" si="96"/>
        <v>38698.490974762564</v>
      </c>
      <c r="AM70" s="488">
        <f t="shared" si="96"/>
        <v>36894.131944776447</v>
      </c>
      <c r="AN70" s="488">
        <f t="shared" si="96"/>
        <v>35977.322381355887</v>
      </c>
      <c r="AO70" s="488">
        <f t="shared" si="96"/>
        <v>41322.037414907623</v>
      </c>
      <c r="AP70" s="488">
        <f t="shared" si="96"/>
        <v>46258.600445443015</v>
      </c>
      <c r="AQ70" s="488">
        <f t="shared" si="96"/>
        <v>50965.505517275793</v>
      </c>
      <c r="AR70" s="488">
        <f t="shared" si="96"/>
        <v>55275.498841194618</v>
      </c>
      <c r="AS70" s="488">
        <f t="shared" si="96"/>
        <v>54537.226937933519</v>
      </c>
      <c r="AT70" s="488">
        <f t="shared" si="96"/>
        <v>53559.993250542429</v>
      </c>
      <c r="AU70" s="489">
        <f t="shared" si="96"/>
        <v>49081.059072572789</v>
      </c>
      <c r="AV70" s="489">
        <f t="shared" si="96"/>
        <v>48444.89544363357</v>
      </c>
      <c r="AW70" s="489">
        <f t="shared" si="96"/>
        <v>50695.712927267406</v>
      </c>
      <c r="AX70" s="489">
        <f t="shared" si="96"/>
        <v>57551.993417926285</v>
      </c>
      <c r="AY70" s="489">
        <f t="shared" si="96"/>
        <v>55270.071064654876</v>
      </c>
      <c r="AZ70" s="489">
        <f t="shared" si="96"/>
        <v>57105.425958782384</v>
      </c>
      <c r="BA70" s="489">
        <f t="shared" si="96"/>
        <v>59072.51379738433</v>
      </c>
      <c r="BB70" s="489">
        <f t="shared" si="96"/>
        <v>63038.904951499884</v>
      </c>
      <c r="BC70" s="489">
        <f t="shared" si="96"/>
        <v>66441.47660913119</v>
      </c>
      <c r="BD70" s="489">
        <f t="shared" si="96"/>
        <v>50698.548113183868</v>
      </c>
      <c r="BE70" s="489">
        <f t="shared" si="96"/>
        <v>45960.275009722922</v>
      </c>
      <c r="BF70" s="489">
        <f t="shared" si="96"/>
        <v>46870.555990955749</v>
      </c>
      <c r="BG70" s="489">
        <f t="shared" si="96"/>
        <v>51349.50357993169</v>
      </c>
      <c r="BH70" s="489">
        <f t="shared" si="96"/>
        <v>53080.689031592134</v>
      </c>
      <c r="BI70" s="489">
        <f t="shared" si="96"/>
        <v>55789.406839554227</v>
      </c>
      <c r="BJ70" s="489">
        <f t="shared" si="96"/>
        <v>54242.370009372455</v>
      </c>
      <c r="BK70" s="489">
        <f t="shared" si="96"/>
        <v>45187.046002827301</v>
      </c>
      <c r="BL70" s="489">
        <f t="shared" si="96"/>
        <v>45978.879392169416</v>
      </c>
      <c r="BM70" s="489">
        <f t="shared" si="96"/>
        <v>43015.182440095741</v>
      </c>
      <c r="BN70" s="489">
        <f t="shared" si="96"/>
        <v>44086.830848349506</v>
      </c>
      <c r="BO70" s="489">
        <f t="shared" si="96"/>
        <v>47035.709170126916</v>
      </c>
      <c r="BP70" s="489">
        <f t="shared" si="96"/>
        <v>50663.51992991149</v>
      </c>
      <c r="BQ70" s="489">
        <f t="shared" si="96"/>
        <v>54765.523272946142</v>
      </c>
      <c r="BR70" s="489">
        <f t="shared" si="96"/>
        <v>56504.974101956417</v>
      </c>
      <c r="BS70" s="489">
        <f t="shared" ref="BS70:CL70" si="97">BS53*BS68/BS17</f>
        <v>49912.329642027471</v>
      </c>
      <c r="BT70" s="489">
        <f t="shared" si="97"/>
        <v>34479.126262428043</v>
      </c>
      <c r="BU70" s="489">
        <f t="shared" si="97"/>
        <v>19956.958819054096</v>
      </c>
      <c r="BV70" s="489">
        <f t="shared" si="97"/>
        <v>34547.656140532003</v>
      </c>
      <c r="BW70" s="489">
        <f t="shared" si="97"/>
        <v>44220.755074468718</v>
      </c>
      <c r="BX70" s="489">
        <f t="shared" si="97"/>
        <v>45083.482606701356</v>
      </c>
      <c r="BY70" s="489">
        <f t="shared" si="97"/>
        <v>44164.705299648405</v>
      </c>
      <c r="BZ70" s="489">
        <f t="shared" si="97"/>
        <v>43305.997814505456</v>
      </c>
      <c r="CA70" s="489">
        <f t="shared" si="97"/>
        <v>42929.634712804247</v>
      </c>
      <c r="CB70" s="489">
        <f t="shared" si="97"/>
        <v>43695.366353012047</v>
      </c>
      <c r="CC70" s="489">
        <f t="shared" si="97"/>
        <v>46249.957571459119</v>
      </c>
      <c r="CD70" s="489">
        <f t="shared" si="97"/>
        <v>55035.45043839312</v>
      </c>
      <c r="CE70" s="489">
        <f t="shared" si="97"/>
        <v>62921.685810998802</v>
      </c>
      <c r="CF70" s="489">
        <f t="shared" si="97"/>
        <v>63336.806031965585</v>
      </c>
      <c r="CG70" s="489">
        <f t="shared" si="97"/>
        <v>57063.935791320284</v>
      </c>
      <c r="CH70" s="489">
        <f t="shared" si="97"/>
        <v>56073.719727093288</v>
      </c>
      <c r="CI70" s="489">
        <f t="shared" si="97"/>
        <v>60619.109742699104</v>
      </c>
      <c r="CJ70" s="489">
        <f t="shared" si="97"/>
        <v>66911.780556464873</v>
      </c>
      <c r="CK70" s="489">
        <f t="shared" si="97"/>
        <v>63095.421151884788</v>
      </c>
      <c r="CL70" s="489">
        <f t="shared" si="97"/>
        <v>66456.147889177562</v>
      </c>
      <c r="CM70" s="489">
        <f>AVERAGE(G70:CL70)</f>
        <v>47244.380438566972</v>
      </c>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c r="FI70" s="58"/>
      <c r="FJ70" s="58"/>
      <c r="FK70" s="58"/>
      <c r="FL70" s="58"/>
      <c r="FM70" s="58"/>
      <c r="FN70" s="58"/>
      <c r="FO70" s="58"/>
      <c r="FP70" s="58"/>
      <c r="FQ70" s="58"/>
      <c r="FR70" s="58"/>
      <c r="FS70" s="58"/>
      <c r="FT70" s="58"/>
      <c r="FU70" s="58"/>
      <c r="FV70" s="58"/>
    </row>
    <row r="71" spans="1:178">
      <c r="F71" s="315"/>
      <c r="G71" s="315"/>
      <c r="H71" s="315"/>
      <c r="I71" s="315"/>
      <c r="J71" s="315"/>
      <c r="K71" s="315"/>
      <c r="L71" s="315"/>
      <c r="M71" s="315"/>
      <c r="N71" s="315"/>
      <c r="O71" s="315"/>
      <c r="P71" s="315"/>
      <c r="Q71" s="315"/>
      <c r="R71" s="315"/>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7"/>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c r="BZ71" s="318"/>
      <c r="CA71" s="318"/>
      <c r="CB71" s="318"/>
      <c r="CC71" s="318"/>
      <c r="CD71" s="318"/>
      <c r="CE71" s="318"/>
      <c r="CF71" s="318"/>
      <c r="CG71" s="318"/>
      <c r="CH71" s="318"/>
      <c r="CI71" s="318"/>
      <c r="CJ71" s="318"/>
      <c r="CK71" s="318"/>
      <c r="CL71" s="318"/>
      <c r="CM71" s="319"/>
    </row>
    <row r="72" spans="1:178">
      <c r="F72" s="320" t="s">
        <v>404</v>
      </c>
      <c r="G72" s="321">
        <v>93308.112500000003</v>
      </c>
      <c r="H72" s="321">
        <v>89338.57</v>
      </c>
      <c r="I72" s="321">
        <v>84521.437916666662</v>
      </c>
      <c r="J72" s="321">
        <v>72138.256250000006</v>
      </c>
      <c r="K72" s="321">
        <v>69542.803749999992</v>
      </c>
      <c r="L72" s="321">
        <v>77202.935599999997</v>
      </c>
      <c r="M72" s="321">
        <v>85561.224749999994</v>
      </c>
      <c r="N72" s="321">
        <v>87810.504000000001</v>
      </c>
      <c r="O72" s="321">
        <v>82223.356874999998</v>
      </c>
      <c r="P72" s="321">
        <v>81008.455999999991</v>
      </c>
      <c r="Q72" s="321">
        <v>77755.603250000015</v>
      </c>
      <c r="R72" s="321">
        <v>75270.07650000001</v>
      </c>
      <c r="S72" s="321">
        <v>79308</v>
      </c>
      <c r="T72" s="321">
        <v>87844.5</v>
      </c>
      <c r="U72" s="321">
        <v>84301.2</v>
      </c>
      <c r="V72" s="321">
        <v>71658</v>
      </c>
      <c r="W72" s="321">
        <v>73467</v>
      </c>
      <c r="X72" s="321">
        <v>79317</v>
      </c>
      <c r="Y72" s="321">
        <v>83124</v>
      </c>
      <c r="Z72" s="321">
        <v>80424</v>
      </c>
      <c r="AA72" s="321">
        <v>78174</v>
      </c>
      <c r="AB72" s="321">
        <v>79992</v>
      </c>
      <c r="AC72" s="321">
        <v>80892</v>
      </c>
      <c r="AD72" s="321">
        <v>80892</v>
      </c>
      <c r="AE72" s="321">
        <v>79920</v>
      </c>
      <c r="AF72" s="321">
        <v>79920</v>
      </c>
      <c r="AG72" s="321">
        <v>79020</v>
      </c>
      <c r="AH72" s="321">
        <v>80838</v>
      </c>
      <c r="AI72" s="321">
        <v>80838</v>
      </c>
      <c r="AJ72" s="321">
        <v>81738</v>
      </c>
      <c r="AK72" s="321">
        <v>80838</v>
      </c>
      <c r="AL72" s="321">
        <v>80838</v>
      </c>
      <c r="AM72" s="321">
        <v>80838</v>
      </c>
      <c r="AN72" s="321">
        <v>80478</v>
      </c>
      <c r="AO72" s="321">
        <v>73638</v>
      </c>
      <c r="AP72" s="321">
        <v>73638</v>
      </c>
      <c r="AQ72" s="321">
        <v>73638</v>
      </c>
      <c r="AR72" s="321">
        <v>75069</v>
      </c>
      <c r="AS72" s="321">
        <v>74097</v>
      </c>
      <c r="AT72" s="322">
        <v>77120</v>
      </c>
      <c r="AU72" s="323">
        <v>78330</v>
      </c>
      <c r="AV72" s="323">
        <v>78330</v>
      </c>
      <c r="AW72" s="323">
        <v>79710</v>
      </c>
      <c r="AX72" s="323">
        <v>81840</v>
      </c>
      <c r="AY72" s="323">
        <v>82290</v>
      </c>
      <c r="AZ72" s="323">
        <v>81605</v>
      </c>
      <c r="BA72" s="323">
        <v>80450</v>
      </c>
      <c r="BB72" s="323">
        <v>82290</v>
      </c>
      <c r="BC72" s="323">
        <v>84860</v>
      </c>
      <c r="BD72" s="323">
        <v>82790</v>
      </c>
      <c r="BE72" s="323">
        <v>75410</v>
      </c>
      <c r="BF72" s="323">
        <v>75535</v>
      </c>
      <c r="BG72" s="323">
        <v>75515</v>
      </c>
      <c r="BH72" s="323">
        <v>76895</v>
      </c>
      <c r="BI72" s="323">
        <v>76895</v>
      </c>
      <c r="BJ72" s="323">
        <v>73118.75</v>
      </c>
      <c r="BK72" s="323">
        <v>69505.666666666672</v>
      </c>
      <c r="BL72" s="323">
        <v>68825</v>
      </c>
      <c r="BM72" s="323">
        <v>69518</v>
      </c>
      <c r="BN72" s="323">
        <v>66726.666666666672</v>
      </c>
      <c r="BO72" s="323">
        <v>68260</v>
      </c>
      <c r="BP72" s="323">
        <v>65340</v>
      </c>
      <c r="BQ72" s="323">
        <v>64110</v>
      </c>
      <c r="BR72" s="323">
        <v>65725</v>
      </c>
      <c r="BS72" s="323">
        <v>66420</v>
      </c>
      <c r="BT72" s="323">
        <v>66430</v>
      </c>
      <c r="BU72" s="323">
        <v>62745</v>
      </c>
      <c r="BV72" s="323">
        <v>59985</v>
      </c>
      <c r="BW72" s="323">
        <v>63743.333333333336</v>
      </c>
      <c r="BX72" s="323">
        <v>67265</v>
      </c>
      <c r="BY72" s="323">
        <v>67680</v>
      </c>
      <c r="BZ72" s="323">
        <v>68533.333333333328</v>
      </c>
      <c r="CA72" s="323">
        <v>71170</v>
      </c>
      <c r="CB72" s="323">
        <v>74566.666666666672</v>
      </c>
      <c r="CC72" s="323">
        <v>80425</v>
      </c>
      <c r="CD72" s="323">
        <v>79965</v>
      </c>
      <c r="CE72" s="323">
        <v>83513.333333333328</v>
      </c>
      <c r="CF72" s="323">
        <v>94750</v>
      </c>
      <c r="CG72" s="323">
        <v>97356.666666666672</v>
      </c>
      <c r="CH72" s="323">
        <v>88703.333333333328</v>
      </c>
      <c r="CI72" s="323">
        <v>85010</v>
      </c>
      <c r="CJ72" s="323">
        <v>87430</v>
      </c>
      <c r="CK72" s="323">
        <v>92103.333333333328</v>
      </c>
      <c r="CL72" s="323">
        <v>94270</v>
      </c>
      <c r="CM72" s="323">
        <f>AVERAGE(G72:CL72)</f>
        <v>77898.572865773807</v>
      </c>
    </row>
    <row r="73" spans="1:178">
      <c r="F73" s="325" t="s">
        <v>405</v>
      </c>
      <c r="G73" s="326">
        <v>94825.01304374999</v>
      </c>
      <c r="H73" s="326">
        <v>89531.853532499998</v>
      </c>
      <c r="I73" s="326">
        <v>85012.567467500005</v>
      </c>
      <c r="J73" s="326">
        <v>73145.637585937497</v>
      </c>
      <c r="K73" s="326">
        <v>69337.815106875001</v>
      </c>
      <c r="L73" s="326">
        <v>76428.891031799998</v>
      </c>
      <c r="M73" s="326">
        <v>85421.754279000001</v>
      </c>
      <c r="N73" s="326">
        <v>87695.729944499995</v>
      </c>
      <c r="O73" s="326">
        <v>84411.261556875004</v>
      </c>
      <c r="P73" s="326">
        <v>83437.817375999992</v>
      </c>
      <c r="Q73" s="326">
        <v>79078.185913500012</v>
      </c>
      <c r="R73" s="326">
        <v>76465.631594250022</v>
      </c>
      <c r="S73" s="326">
        <v>81045</v>
      </c>
      <c r="T73" s="326">
        <v>88461.9</v>
      </c>
      <c r="U73" s="326">
        <v>84411.9</v>
      </c>
      <c r="V73" s="326">
        <v>73836</v>
      </c>
      <c r="W73" s="326">
        <v>75195</v>
      </c>
      <c r="X73" s="326">
        <v>78795</v>
      </c>
      <c r="Y73" s="326">
        <v>81990</v>
      </c>
      <c r="Z73" s="326">
        <v>80190</v>
      </c>
      <c r="AA73" s="326">
        <v>78840</v>
      </c>
      <c r="AB73" s="326">
        <v>80235</v>
      </c>
      <c r="AC73" s="326">
        <v>80235</v>
      </c>
      <c r="AD73" s="326">
        <v>80235</v>
      </c>
      <c r="AE73" s="326">
        <v>78345</v>
      </c>
      <c r="AF73" s="326">
        <v>78345</v>
      </c>
      <c r="AG73" s="326">
        <v>76545</v>
      </c>
      <c r="AH73" s="326">
        <v>78399</v>
      </c>
      <c r="AI73" s="326">
        <v>78399</v>
      </c>
      <c r="AJ73" s="326">
        <v>78399</v>
      </c>
      <c r="AK73" s="326">
        <v>77499</v>
      </c>
      <c r="AL73" s="326">
        <v>77499</v>
      </c>
      <c r="AM73" s="326">
        <v>77499</v>
      </c>
      <c r="AN73" s="326">
        <v>74799</v>
      </c>
      <c r="AO73" s="326">
        <v>71199</v>
      </c>
      <c r="AP73" s="326">
        <v>71199</v>
      </c>
      <c r="AQ73" s="326">
        <v>72549</v>
      </c>
      <c r="AR73" s="326">
        <v>73008</v>
      </c>
      <c r="AS73" s="326">
        <v>74358</v>
      </c>
      <c r="AT73" s="327">
        <v>80539.58795362903</v>
      </c>
      <c r="AU73" s="328">
        <v>86934.170866935485</v>
      </c>
      <c r="AV73" s="328">
        <v>89341.653225806454</v>
      </c>
      <c r="AW73" s="328">
        <v>91140.766129032243</v>
      </c>
      <c r="AX73" s="328">
        <v>96099.868951612909</v>
      </c>
      <c r="AY73" s="328">
        <v>97828.508064516122</v>
      </c>
      <c r="AZ73" s="328">
        <v>97836.572580645152</v>
      </c>
      <c r="BA73" s="328">
        <v>97190.645161290318</v>
      </c>
      <c r="BB73" s="328">
        <v>97364.107862903213</v>
      </c>
      <c r="BC73" s="328">
        <v>98086.408770161288</v>
      </c>
      <c r="BD73" s="328">
        <v>93706.549059139783</v>
      </c>
      <c r="BE73" s="328">
        <v>83380.277217741939</v>
      </c>
      <c r="BF73" s="328">
        <v>81038.145161290318</v>
      </c>
      <c r="BG73" s="328">
        <v>79961.224798387091</v>
      </c>
      <c r="BH73" s="328">
        <v>79961.224798387091</v>
      </c>
      <c r="BI73" s="328">
        <v>79961.224798387091</v>
      </c>
      <c r="BJ73" s="328">
        <v>77660.846774193546</v>
      </c>
      <c r="BK73" s="328">
        <v>72853.889616935485</v>
      </c>
      <c r="BL73" s="328">
        <v>70820.866935483864</v>
      </c>
      <c r="BM73" s="328">
        <v>71429.147177419349</v>
      </c>
      <c r="BN73" s="328">
        <v>70584.057459677424</v>
      </c>
      <c r="BO73" s="328">
        <v>70105.042002688162</v>
      </c>
      <c r="BP73" s="328">
        <v>67182.930947580651</v>
      </c>
      <c r="BQ73" s="328">
        <v>66724.662298387091</v>
      </c>
      <c r="BR73" s="328">
        <v>67824.059979838712</v>
      </c>
      <c r="BS73" s="328">
        <v>68500.904737903227</v>
      </c>
      <c r="BT73" s="328">
        <v>68724.480846774197</v>
      </c>
      <c r="BU73" s="328">
        <v>66429.480846774182</v>
      </c>
      <c r="BV73" s="328">
        <v>63588.351814516129</v>
      </c>
      <c r="BW73" s="328">
        <v>66402.384072580651</v>
      </c>
      <c r="BX73" s="328">
        <v>70905.260416666657</v>
      </c>
      <c r="BY73" s="328">
        <v>72930.645161290318</v>
      </c>
      <c r="BZ73" s="328">
        <v>74167.31182795699</v>
      </c>
      <c r="CA73" s="328">
        <v>76190.645161290318</v>
      </c>
      <c r="CB73" s="328">
        <v>78563.440860215051</v>
      </c>
      <c r="CC73" s="328">
        <v>82576.774193548394</v>
      </c>
      <c r="CD73" s="328">
        <v>83057.285786290318</v>
      </c>
      <c r="CE73" s="328">
        <v>87461.036626344096</v>
      </c>
      <c r="CF73" s="328">
        <v>95744.682459677424</v>
      </c>
      <c r="CG73" s="328">
        <v>100247.4932795699</v>
      </c>
      <c r="CH73" s="328">
        <v>93822.923387096787</v>
      </c>
      <c r="CI73" s="328">
        <v>89059.213709677409</v>
      </c>
      <c r="CJ73" s="328">
        <v>89672.547043010738</v>
      </c>
      <c r="CK73" s="328">
        <v>92655.342741935485</v>
      </c>
      <c r="CL73" s="328">
        <v>93595.342741935485</v>
      </c>
      <c r="CM73" s="328">
        <f t="shared" ref="CM73:CM74" si="98">AVERAGE(G73:CL73)</f>
        <v>80549.463627852514</v>
      </c>
    </row>
    <row r="74" spans="1:178">
      <c r="F74" s="330" t="s">
        <v>406</v>
      </c>
      <c r="G74" s="331">
        <v>91404.880812874995</v>
      </c>
      <c r="H74" s="331">
        <v>87094.764578674993</v>
      </c>
      <c r="I74" s="331">
        <v>77256.38140569166</v>
      </c>
      <c r="J74" s="331">
        <v>61325.996379656252</v>
      </c>
      <c r="K74" s="331">
        <v>64119.948843824997</v>
      </c>
      <c r="L74" s="331">
        <v>77013.163535779997</v>
      </c>
      <c r="M74" s="331">
        <v>83162.763292252494</v>
      </c>
      <c r="N74" s="331">
        <v>86773.900204894991</v>
      </c>
      <c r="O74" s="331">
        <v>81044.034106035004</v>
      </c>
      <c r="P74" s="331">
        <v>74891.803732367989</v>
      </c>
      <c r="Q74" s="331">
        <v>68413.046297037508</v>
      </c>
      <c r="R74" s="331">
        <v>66765.586722307518</v>
      </c>
      <c r="S74" s="331">
        <v>73130.399999999994</v>
      </c>
      <c r="T74" s="331">
        <v>75137.399999999994</v>
      </c>
      <c r="U74" s="331">
        <v>70196.399999999994</v>
      </c>
      <c r="V74" s="331">
        <v>67642.2</v>
      </c>
      <c r="W74" s="331">
        <v>66744</v>
      </c>
      <c r="X74" s="331">
        <v>71694.899999999994</v>
      </c>
      <c r="Y74" s="331">
        <v>73773</v>
      </c>
      <c r="Z74" s="331">
        <v>70695</v>
      </c>
      <c r="AA74" s="331">
        <v>66735</v>
      </c>
      <c r="AB74" s="331">
        <v>72495</v>
      </c>
      <c r="AC74" s="331">
        <v>71613</v>
      </c>
      <c r="AD74" s="331">
        <v>71172</v>
      </c>
      <c r="AE74" s="331">
        <v>69300</v>
      </c>
      <c r="AF74" s="331">
        <v>71055</v>
      </c>
      <c r="AG74" s="331">
        <v>71055</v>
      </c>
      <c r="AH74" s="331">
        <v>75069</v>
      </c>
      <c r="AI74" s="331">
        <v>75069</v>
      </c>
      <c r="AJ74" s="331">
        <v>78147</v>
      </c>
      <c r="AK74" s="331">
        <v>74601</v>
      </c>
      <c r="AL74" s="331">
        <v>73314</v>
      </c>
      <c r="AM74" s="331">
        <v>73314</v>
      </c>
      <c r="AN74" s="331">
        <v>71992.800000000003</v>
      </c>
      <c r="AO74" s="331">
        <v>74170.8</v>
      </c>
      <c r="AP74" s="331">
        <v>75970.8</v>
      </c>
      <c r="AQ74" s="331">
        <v>79579.8</v>
      </c>
      <c r="AR74" s="331">
        <v>78679.8</v>
      </c>
      <c r="AS74" s="331">
        <v>78679.8</v>
      </c>
      <c r="AT74" s="332">
        <v>82316.144548146898</v>
      </c>
      <c r="AU74" s="333">
        <v>87120.247838398529</v>
      </c>
      <c r="AV74" s="333">
        <v>88230.55929702321</v>
      </c>
      <c r="AW74" s="333">
        <v>88137.702676638582</v>
      </c>
      <c r="AX74" s="333">
        <v>90726.081075997456</v>
      </c>
      <c r="AY74" s="333">
        <v>93640.936364928682</v>
      </c>
      <c r="AZ74" s="333">
        <v>92952.565226764884</v>
      </c>
      <c r="BA74" s="333">
        <v>90410.936364928682</v>
      </c>
      <c r="BB74" s="333">
        <v>92250.936364928682</v>
      </c>
      <c r="BC74" s="333">
        <v>94825.936364928682</v>
      </c>
      <c r="BD74" s="333">
        <v>91827.603031595354</v>
      </c>
      <c r="BE74" s="333">
        <v>79800.936364928682</v>
      </c>
      <c r="BF74" s="333">
        <v>79925.936364928668</v>
      </c>
      <c r="BG74" s="333">
        <v>82092.565226764898</v>
      </c>
      <c r="BH74" s="333">
        <v>83705.936364928682</v>
      </c>
      <c r="BI74" s="333">
        <v>86337.244991853178</v>
      </c>
      <c r="BJ74" s="333">
        <v>88343.09322299331</v>
      </c>
      <c r="BK74" s="333">
        <v>84371.0867978694</v>
      </c>
      <c r="BL74" s="333">
        <v>82533.667556645247</v>
      </c>
      <c r="BM74" s="333">
        <v>83915.296418481477</v>
      </c>
      <c r="BN74" s="333">
        <v>85998.353851846667</v>
      </c>
      <c r="BO74" s="333">
        <v>83680.839372426868</v>
      </c>
      <c r="BP74" s="333">
        <v>78296.420131202744</v>
      </c>
      <c r="BQ74" s="333">
        <v>74908.667556645261</v>
      </c>
      <c r="BR74" s="333">
        <v>75368.667556645261</v>
      </c>
      <c r="BS74" s="333">
        <v>74755.334223311933</v>
      </c>
      <c r="BT74" s="333">
        <v>71698.667556645261</v>
      </c>
      <c r="BU74" s="333">
        <v>67093.667556645261</v>
      </c>
      <c r="BV74" s="333">
        <v>66173.667556645261</v>
      </c>
      <c r="BW74" s="333">
        <v>70296.297866503111</v>
      </c>
      <c r="BX74" s="333">
        <v>73811.225510968739</v>
      </c>
      <c r="BY74" s="333">
        <v>73104.932138219243</v>
      </c>
      <c r="BZ74" s="333">
        <v>73109.932138219243</v>
      </c>
      <c r="CA74" s="333">
        <v>76518.265471552571</v>
      </c>
      <c r="CB74" s="333">
        <v>82074.932138219243</v>
      </c>
      <c r="CC74" s="333">
        <v>90244.932138219243</v>
      </c>
      <c r="CD74" s="333">
        <v>93047.449038505991</v>
      </c>
      <c r="CE74" s="333">
        <v>98603.920574120828</v>
      </c>
      <c r="CF74" s="333">
        <v>112597.05572119531</v>
      </c>
      <c r="CG74" s="333">
        <v>112518.32981716725</v>
      </c>
      <c r="CH74" s="333">
        <v>106216.66315050058</v>
      </c>
      <c r="CI74" s="333">
        <v>98978.114255042339</v>
      </c>
      <c r="CJ74" s="333">
        <v>99434.349797459188</v>
      </c>
      <c r="CK74" s="333">
        <v>103781.54397226339</v>
      </c>
      <c r="CL74" s="333">
        <v>105181.5439722634</v>
      </c>
      <c r="CM74" s="333">
        <f t="shared" si="98"/>
        <v>80729.185183779831</v>
      </c>
    </row>
    <row r="75" spans="1:178">
      <c r="F75" s="293"/>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33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336"/>
    </row>
  </sheetData>
  <mergeCells count="12">
    <mergeCell ref="A2:A6"/>
    <mergeCell ref="A7:A11"/>
    <mergeCell ref="A12:A15"/>
    <mergeCell ref="E12:E15"/>
    <mergeCell ref="A16:A22"/>
    <mergeCell ref="E16:E22"/>
    <mergeCell ref="A23:A33"/>
    <mergeCell ref="A34:A40"/>
    <mergeCell ref="E34:E40"/>
    <mergeCell ref="A42:A43"/>
    <mergeCell ref="A59:E68"/>
    <mergeCell ref="A56:A57"/>
  </mergeCells>
  <pageMargins left="0.7" right="0.7" top="0.75" bottom="0.75" header="0.3" footer="0.3"/>
  <pageSetup orientation="portrait" r:id="rId1"/>
  <ignoredErrors>
    <ignoredError sqref="CM1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D5321-CF30-4A4E-80B6-AD2E64B85193}">
  <sheetPr codeName="Sheet44"/>
  <dimension ref="A1:FW75"/>
  <sheetViews>
    <sheetView showGridLines="0" topLeftCell="C1" zoomScaleNormal="100" workbookViewId="0">
      <selection activeCell="G2" sqref="G2"/>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37" customWidth="1"/>
    <col min="7" max="7" width="16.28515625" style="337" bestFit="1" customWidth="1"/>
    <col min="8" max="8" width="17.140625" style="337" customWidth="1"/>
    <col min="9" max="9" width="16.7109375" style="337" customWidth="1"/>
    <col min="10" max="10" width="16.140625" style="337" customWidth="1"/>
    <col min="11" max="11" width="15.85546875" style="337" customWidth="1"/>
    <col min="12" max="12" width="15.5703125" style="337" customWidth="1"/>
    <col min="13" max="13" width="15.85546875" style="337" customWidth="1"/>
    <col min="14" max="16" width="16.5703125" style="337" customWidth="1"/>
    <col min="17" max="17" width="14.5703125" style="337" customWidth="1"/>
    <col min="18" max="18" width="17.2851562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51" t="s">
        <v>299</v>
      </c>
      <c r="B1" s="351" t="s">
        <v>300</v>
      </c>
      <c r="C1" s="352" t="s">
        <v>146</v>
      </c>
      <c r="D1" s="352" t="s">
        <v>162</v>
      </c>
      <c r="E1" s="351" t="s">
        <v>301</v>
      </c>
      <c r="F1" s="353" t="s">
        <v>4</v>
      </c>
      <c r="G1" s="354">
        <v>41913</v>
      </c>
      <c r="H1" s="354">
        <v>41944</v>
      </c>
      <c r="I1" s="354">
        <v>41974</v>
      </c>
      <c r="J1" s="354">
        <v>42005</v>
      </c>
      <c r="K1" s="354">
        <v>42036</v>
      </c>
      <c r="L1" s="354">
        <v>42064</v>
      </c>
      <c r="M1" s="354">
        <v>42095</v>
      </c>
      <c r="N1" s="354">
        <v>42125</v>
      </c>
      <c r="O1" s="354">
        <v>42156</v>
      </c>
      <c r="P1" s="354">
        <v>42186</v>
      </c>
      <c r="Q1" s="354">
        <v>42217</v>
      </c>
      <c r="R1" s="354">
        <v>42248</v>
      </c>
      <c r="S1" s="354">
        <v>42278</v>
      </c>
      <c r="T1" s="354">
        <v>42309</v>
      </c>
      <c r="U1" s="354">
        <v>42339</v>
      </c>
      <c r="V1" s="354">
        <v>42370</v>
      </c>
      <c r="W1" s="354">
        <v>42401</v>
      </c>
      <c r="X1" s="354">
        <v>42430</v>
      </c>
      <c r="Y1" s="354">
        <v>42461</v>
      </c>
      <c r="Z1" s="354">
        <v>42491</v>
      </c>
      <c r="AA1" s="354">
        <v>42522</v>
      </c>
      <c r="AB1" s="354">
        <v>42552</v>
      </c>
      <c r="AC1" s="354">
        <v>42583</v>
      </c>
      <c r="AD1" s="354">
        <v>42614</v>
      </c>
      <c r="AE1" s="354">
        <v>42644</v>
      </c>
      <c r="AF1" s="354">
        <v>42675</v>
      </c>
      <c r="AG1" s="354">
        <v>42705</v>
      </c>
      <c r="AH1" s="354">
        <v>42736</v>
      </c>
      <c r="AI1" s="354">
        <v>42767</v>
      </c>
      <c r="AJ1" s="354">
        <v>42795</v>
      </c>
      <c r="AK1" s="354">
        <v>42826</v>
      </c>
      <c r="AL1" s="354">
        <v>42856</v>
      </c>
      <c r="AM1" s="354">
        <v>42887</v>
      </c>
      <c r="AN1" s="354">
        <v>42917</v>
      </c>
      <c r="AO1" s="354">
        <v>42948</v>
      </c>
      <c r="AP1" s="354">
        <v>42979</v>
      </c>
      <c r="AQ1" s="354">
        <v>43009</v>
      </c>
      <c r="AR1" s="354">
        <v>43040</v>
      </c>
      <c r="AS1" s="354">
        <v>43070</v>
      </c>
      <c r="AT1" s="354">
        <v>43101</v>
      </c>
      <c r="AU1" s="354">
        <v>43132</v>
      </c>
      <c r="AV1" s="354">
        <v>43160</v>
      </c>
      <c r="AW1" s="354">
        <v>43191</v>
      </c>
      <c r="AX1" s="354">
        <v>43221</v>
      </c>
      <c r="AY1" s="354">
        <v>43252</v>
      </c>
      <c r="AZ1" s="354">
        <v>43282</v>
      </c>
      <c r="BA1" s="354">
        <v>43313</v>
      </c>
      <c r="BB1" s="354">
        <v>43344</v>
      </c>
      <c r="BC1" s="354">
        <v>43374</v>
      </c>
      <c r="BD1" s="354">
        <v>43405</v>
      </c>
      <c r="BE1" s="354">
        <v>43435</v>
      </c>
      <c r="BF1" s="354">
        <v>43466</v>
      </c>
      <c r="BG1" s="354">
        <v>43497</v>
      </c>
      <c r="BH1" s="354">
        <v>43525</v>
      </c>
      <c r="BI1" s="354">
        <v>43556</v>
      </c>
      <c r="BJ1" s="354">
        <v>43586</v>
      </c>
      <c r="BK1" s="354">
        <v>43617</v>
      </c>
      <c r="BL1" s="354">
        <v>43647</v>
      </c>
      <c r="BM1" s="354">
        <v>43678</v>
      </c>
      <c r="BN1" s="354">
        <v>43709</v>
      </c>
      <c r="BO1" s="354">
        <v>43739</v>
      </c>
      <c r="BP1" s="354">
        <v>43770</v>
      </c>
      <c r="BQ1" s="354">
        <v>43800</v>
      </c>
      <c r="BR1" s="354">
        <v>43831</v>
      </c>
      <c r="BS1" s="354">
        <v>43862</v>
      </c>
      <c r="BT1" s="354">
        <v>43891</v>
      </c>
      <c r="BU1" s="354">
        <v>43922</v>
      </c>
      <c r="BV1" s="354">
        <v>43952</v>
      </c>
      <c r="BW1" s="354">
        <v>43983</v>
      </c>
      <c r="BX1" s="354">
        <v>44013</v>
      </c>
      <c r="BY1" s="354">
        <v>44044</v>
      </c>
      <c r="BZ1" s="354">
        <v>44075</v>
      </c>
      <c r="CA1" s="354">
        <v>44105</v>
      </c>
      <c r="CB1" s="354">
        <v>44136</v>
      </c>
      <c r="CC1" s="354">
        <v>44166</v>
      </c>
      <c r="CD1" s="354">
        <v>44197</v>
      </c>
      <c r="CE1" s="354">
        <v>44228</v>
      </c>
      <c r="CF1" s="354">
        <v>44256</v>
      </c>
      <c r="CG1" s="354">
        <v>44287</v>
      </c>
      <c r="CH1" s="354">
        <v>44317</v>
      </c>
      <c r="CI1" s="354">
        <v>44348</v>
      </c>
      <c r="CJ1" s="354">
        <v>44378</v>
      </c>
      <c r="CK1" s="354">
        <v>44409</v>
      </c>
      <c r="CL1" s="354">
        <v>44440</v>
      </c>
      <c r="CM1" s="355" t="s">
        <v>402</v>
      </c>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c r="FT1" s="58"/>
      <c r="FU1" s="58"/>
      <c r="FV1" s="58"/>
    </row>
    <row r="2" spans="1:178">
      <c r="A2" s="1049" t="s">
        <v>302</v>
      </c>
      <c r="B2" s="286" t="s">
        <v>303</v>
      </c>
      <c r="C2" s="356" t="s">
        <v>142</v>
      </c>
      <c r="D2" s="356"/>
      <c r="E2" s="357" t="s">
        <v>348</v>
      </c>
      <c r="F2" s="358" t="s">
        <v>148</v>
      </c>
      <c r="G2" s="358">
        <v>26532.757774575486</v>
      </c>
      <c r="H2" s="358">
        <v>27538.553651570412</v>
      </c>
      <c r="I2" s="358">
        <v>28993.109070287312</v>
      </c>
      <c r="J2" s="358">
        <v>26638.108618821272</v>
      </c>
      <c r="K2" s="358">
        <v>25987.682939534854</v>
      </c>
      <c r="L2" s="358">
        <v>26186.436136518663</v>
      </c>
      <c r="M2" s="358">
        <v>25667.003775591307</v>
      </c>
      <c r="N2" s="358">
        <v>25845.072172532211</v>
      </c>
      <c r="O2" s="358">
        <v>25797.372344387091</v>
      </c>
      <c r="P2" s="358">
        <v>25656.501958812332</v>
      </c>
      <c r="Q2" s="358">
        <v>26333.40463914162</v>
      </c>
      <c r="R2" s="358">
        <v>26165.279396752732</v>
      </c>
      <c r="S2" s="359">
        <v>25666.025923460737</v>
      </c>
      <c r="T2" s="359">
        <v>24899.180889438954</v>
      </c>
      <c r="U2" s="359">
        <v>23880.586166248431</v>
      </c>
      <c r="V2" s="359">
        <v>24411.700702863644</v>
      </c>
      <c r="W2" s="359">
        <v>24257.001940080365</v>
      </c>
      <c r="X2" s="359">
        <v>22868.375878670595</v>
      </c>
      <c r="Y2" s="359">
        <v>21911.066739021626</v>
      </c>
      <c r="Z2" s="359">
        <v>22200.733682426511</v>
      </c>
      <c r="AA2" s="359">
        <v>22204.945784979776</v>
      </c>
      <c r="AB2" s="359">
        <v>24136.999651818103</v>
      </c>
      <c r="AC2" s="359">
        <v>23625.007726584867</v>
      </c>
      <c r="AD2" s="359">
        <v>23954.932396815879</v>
      </c>
      <c r="AE2" s="359">
        <v>23156.266311160871</v>
      </c>
      <c r="AF2" s="359">
        <v>23092.4420426506</v>
      </c>
      <c r="AG2" s="359">
        <v>24011.42218155443</v>
      </c>
      <c r="AH2" s="359">
        <v>25537.09773798829</v>
      </c>
      <c r="AI2" s="359">
        <v>24094.833182933955</v>
      </c>
      <c r="AJ2" s="359">
        <v>22184.430958909365</v>
      </c>
      <c r="AK2" s="359">
        <v>22965.192311160296</v>
      </c>
      <c r="AL2" s="359">
        <v>22907.081265541587</v>
      </c>
      <c r="AM2" s="359">
        <v>23103.549710953474</v>
      </c>
      <c r="AN2" s="359">
        <v>22706.754148270244</v>
      </c>
      <c r="AO2" s="359">
        <v>22463.707960719952</v>
      </c>
      <c r="AP2" s="359">
        <v>22558.914567701315</v>
      </c>
      <c r="AQ2" s="359">
        <v>23408.05811496501</v>
      </c>
      <c r="AR2" s="359">
        <v>22931.207281310824</v>
      </c>
      <c r="AS2" s="359">
        <v>23341.626818591918</v>
      </c>
      <c r="AT2" s="360">
        <v>22626.398787992621</v>
      </c>
      <c r="AU2" s="359">
        <v>24652.879594262893</v>
      </c>
      <c r="AV2" s="359">
        <v>22754.103545353588</v>
      </c>
      <c r="AW2" s="359">
        <v>23394.296752409726</v>
      </c>
      <c r="AX2" s="359">
        <v>24078.056544339099</v>
      </c>
      <c r="AY2" s="359">
        <v>24316.438633911333</v>
      </c>
      <c r="AZ2" s="359">
        <v>24753.999020581345</v>
      </c>
      <c r="BA2" s="359">
        <v>24741.737413414776</v>
      </c>
      <c r="BB2" s="359">
        <v>25562.042696335113</v>
      </c>
      <c r="BC2" s="359">
        <v>26646.238960953415</v>
      </c>
      <c r="BD2" s="359">
        <v>26439.926430104657</v>
      </c>
      <c r="BE2" s="359">
        <v>29613.63340573421</v>
      </c>
      <c r="BF2" s="359">
        <v>27397.137223547619</v>
      </c>
      <c r="BG2" s="359">
        <v>25900.188741819948</v>
      </c>
      <c r="BH2" s="359">
        <v>25181.001935040003</v>
      </c>
      <c r="BI2" s="359">
        <v>25504.644461517979</v>
      </c>
      <c r="BJ2" s="359">
        <v>25303.495922054404</v>
      </c>
      <c r="BK2" s="359">
        <v>25290.442419167994</v>
      </c>
      <c r="BL2" s="359">
        <v>24484.327470695331</v>
      </c>
      <c r="BM2" s="359">
        <v>24754.820494311622</v>
      </c>
      <c r="BN2" s="359">
        <v>24932.817564447443</v>
      </c>
      <c r="BO2" s="359">
        <v>24429.903521937635</v>
      </c>
      <c r="BP2" s="359">
        <v>25001.12858800892</v>
      </c>
      <c r="BQ2" s="359">
        <v>24620.992049650831</v>
      </c>
      <c r="BR2" s="359">
        <v>23913.876071032319</v>
      </c>
      <c r="BS2" s="359">
        <v>23440.799970106109</v>
      </c>
      <c r="BT2" s="359">
        <v>24067.163617845239</v>
      </c>
      <c r="BU2" s="359">
        <v>22191.876283052297</v>
      </c>
      <c r="BV2" s="359">
        <v>22482.805339731309</v>
      </c>
      <c r="BW2" s="359">
        <v>22300.363486427781</v>
      </c>
      <c r="BX2" s="359">
        <v>21616.913899096671</v>
      </c>
      <c r="BY2" s="359">
        <v>22305.949514621501</v>
      </c>
      <c r="BZ2" s="359">
        <v>23807.872193244646</v>
      </c>
      <c r="CA2" s="359">
        <v>21583.729460977393</v>
      </c>
      <c r="CB2" s="359">
        <v>23735.727310311726</v>
      </c>
      <c r="CC2" s="359">
        <v>23368.786714535316</v>
      </c>
      <c r="CD2" s="359">
        <v>22276.08823195671</v>
      </c>
      <c r="CE2" s="359">
        <v>22954.152918779349</v>
      </c>
      <c r="CF2" s="359">
        <v>23100.627864737675</v>
      </c>
      <c r="CG2" s="359">
        <v>22895.16877505945</v>
      </c>
      <c r="CH2" s="359">
        <v>23300.029611459526</v>
      </c>
      <c r="CI2" s="359">
        <v>23695.585610401336</v>
      </c>
      <c r="CJ2" s="359">
        <v>25278.910518610683</v>
      </c>
      <c r="CK2" s="359">
        <v>26109.479405397575</v>
      </c>
      <c r="CL2" s="358">
        <v>26840.930556194784</v>
      </c>
      <c r="CM2" s="359">
        <f t="shared" ref="CM2:CM14" si="0">AVERAGE(G2:CL2)</f>
        <v>24326.998977220468</v>
      </c>
      <c r="CN2" s="361" t="s">
        <v>163</v>
      </c>
      <c r="CO2" s="361"/>
      <c r="CP2" s="361"/>
      <c r="CQ2" s="361"/>
      <c r="CR2" s="361"/>
      <c r="CS2" s="361"/>
      <c r="CT2" s="361"/>
      <c r="CU2" s="361"/>
      <c r="CV2" s="361"/>
      <c r="CW2" s="361"/>
      <c r="CX2" s="361"/>
      <c r="CY2" s="361"/>
      <c r="CZ2" s="361"/>
      <c r="DA2" s="361"/>
      <c r="DB2" s="361"/>
      <c r="DC2" s="361"/>
      <c r="DD2" s="361"/>
      <c r="DE2" s="361"/>
      <c r="DF2" s="361"/>
      <c r="DG2" s="361"/>
      <c r="DH2" s="361"/>
      <c r="DI2" s="361"/>
      <c r="DJ2" s="361"/>
      <c r="DK2" s="361"/>
      <c r="DL2" s="361"/>
      <c r="DM2" s="361"/>
      <c r="DN2" s="361"/>
      <c r="DO2" s="361"/>
      <c r="DP2" s="361"/>
      <c r="DQ2" s="361"/>
      <c r="DR2" s="361"/>
      <c r="DS2" s="361"/>
      <c r="DT2" s="361"/>
      <c r="DU2" s="361"/>
      <c r="DV2" s="361"/>
      <c r="DW2" s="361"/>
      <c r="DX2" s="361"/>
      <c r="DY2" s="361"/>
      <c r="DZ2" s="361"/>
      <c r="EA2" s="361"/>
      <c r="EB2" s="361"/>
      <c r="EC2" s="58"/>
      <c r="ED2" s="58"/>
      <c r="EE2" s="58"/>
      <c r="EF2" s="58"/>
      <c r="EG2" s="58"/>
      <c r="EH2" s="58"/>
      <c r="EI2" s="58"/>
      <c r="EJ2" s="58"/>
      <c r="EK2" s="58"/>
      <c r="EL2" s="58"/>
      <c r="EM2" s="58"/>
      <c r="EN2" s="58"/>
      <c r="EO2" s="58"/>
      <c r="EP2" s="58"/>
      <c r="EQ2" s="58"/>
      <c r="ER2" s="58"/>
      <c r="ES2" s="58"/>
      <c r="ET2" s="58"/>
      <c r="EU2" s="58"/>
      <c r="EV2" s="58"/>
      <c r="EW2" s="58"/>
      <c r="EX2" s="58"/>
      <c r="EY2" s="58"/>
      <c r="EZ2" s="58"/>
      <c r="FA2" s="58"/>
      <c r="FB2" s="58"/>
      <c r="FC2" s="58"/>
      <c r="FD2" s="58"/>
      <c r="FE2" s="58"/>
      <c r="FF2" s="58"/>
      <c r="FG2" s="58"/>
      <c r="FH2" s="58"/>
      <c r="FI2" s="58"/>
      <c r="FJ2" s="58"/>
      <c r="FK2" s="58"/>
      <c r="FL2" s="58"/>
      <c r="FM2" s="58"/>
      <c r="FN2" s="58"/>
      <c r="FO2" s="58"/>
      <c r="FP2" s="58"/>
      <c r="FQ2" s="58"/>
      <c r="FR2" s="58"/>
      <c r="FS2" s="58"/>
      <c r="FT2" s="58"/>
      <c r="FU2" s="58"/>
      <c r="FV2" s="58"/>
    </row>
    <row r="3" spans="1:178">
      <c r="A3" s="1050"/>
      <c r="B3" s="2" t="s">
        <v>303</v>
      </c>
      <c r="C3" s="362" t="s">
        <v>142</v>
      </c>
      <c r="D3" s="362"/>
      <c r="E3" s="58" t="s">
        <v>348</v>
      </c>
      <c r="F3" s="363" t="s">
        <v>0</v>
      </c>
      <c r="G3" s="641">
        <v>47327.845206284997</v>
      </c>
      <c r="H3" s="641">
        <v>39482.80760588</v>
      </c>
      <c r="I3" s="641">
        <v>36204.060790149997</v>
      </c>
      <c r="J3" s="641">
        <v>27698.208912624999</v>
      </c>
      <c r="K3" s="641">
        <v>29295.424416149999</v>
      </c>
      <c r="L3" s="641">
        <v>32785.037939000002</v>
      </c>
      <c r="M3" s="641">
        <v>30278.944923519997</v>
      </c>
      <c r="N3" s="641">
        <v>31112.532112649998</v>
      </c>
      <c r="O3" s="641">
        <v>27122.875893674995</v>
      </c>
      <c r="P3" s="641">
        <v>26376.786423944999</v>
      </c>
      <c r="Q3" s="641">
        <v>24927.501257080003</v>
      </c>
      <c r="R3" s="641">
        <v>21879.322637759997</v>
      </c>
      <c r="S3" s="642">
        <v>24575.123904479995</v>
      </c>
      <c r="T3" s="642">
        <v>27419.471417719997</v>
      </c>
      <c r="U3" s="642">
        <v>32111.792529339997</v>
      </c>
      <c r="V3" s="642">
        <v>24361.102800000001</v>
      </c>
      <c r="W3" s="642">
        <v>20343.800900000002</v>
      </c>
      <c r="X3" s="642">
        <v>20225.6142</v>
      </c>
      <c r="Y3" s="642">
        <v>22277.670000000002</v>
      </c>
      <c r="Z3" s="642">
        <v>22772.380700000002</v>
      </c>
      <c r="AA3" s="642">
        <v>23208.521000000001</v>
      </c>
      <c r="AB3" s="642">
        <v>20679.534800000001</v>
      </c>
      <c r="AC3" s="642">
        <v>19966.231</v>
      </c>
      <c r="AD3" s="642">
        <v>20608.4136</v>
      </c>
      <c r="AE3" s="642">
        <v>23739.838200000002</v>
      </c>
      <c r="AF3" s="642">
        <v>27675.5599</v>
      </c>
      <c r="AG3" s="642">
        <v>26944.4758</v>
      </c>
      <c r="AH3" s="642">
        <v>30970.144900000003</v>
      </c>
      <c r="AI3" s="642">
        <v>35685.062100000003</v>
      </c>
      <c r="AJ3" s="642">
        <v>33001.282700000003</v>
      </c>
      <c r="AK3" s="642">
        <v>28971.43</v>
      </c>
      <c r="AL3" s="642">
        <v>25940.411800000002</v>
      </c>
      <c r="AM3" s="642">
        <v>25950.870800000001</v>
      </c>
      <c r="AN3" s="642">
        <v>23221.071800000002</v>
      </c>
      <c r="AO3" s="642">
        <v>28110.654300000002</v>
      </c>
      <c r="AP3" s="642">
        <v>32381.064000000002</v>
      </c>
      <c r="AQ3" s="642">
        <v>39089.4666</v>
      </c>
      <c r="AR3" s="642">
        <v>38985.922500000001</v>
      </c>
      <c r="AS3" s="642">
        <v>39578.947800000002</v>
      </c>
      <c r="AT3" s="364">
        <v>39294.463000000003</v>
      </c>
      <c r="AU3" s="319">
        <v>35437.183799999999</v>
      </c>
      <c r="AV3" s="319">
        <v>32666.594700000001</v>
      </c>
      <c r="AW3" s="319">
        <v>32691.696300000003</v>
      </c>
      <c r="AX3" s="319">
        <v>35282.390599999999</v>
      </c>
      <c r="AY3" s="319">
        <v>39784.990100000003</v>
      </c>
      <c r="AZ3" s="319">
        <v>39850.881800000003</v>
      </c>
      <c r="BA3" s="319">
        <v>42365.225400000003</v>
      </c>
      <c r="BB3" s="319">
        <v>45248.771700000005</v>
      </c>
      <c r="BC3" s="319">
        <v>50290.009700000002</v>
      </c>
      <c r="BD3" s="319">
        <v>40239.956600000005</v>
      </c>
      <c r="BE3" s="319">
        <v>32952.125400000004</v>
      </c>
      <c r="BF3" s="319">
        <v>31827.782900000002</v>
      </c>
      <c r="BG3" s="319">
        <v>32745.037200000002</v>
      </c>
      <c r="BH3" s="319">
        <v>35573.150800000003</v>
      </c>
      <c r="BI3" s="319">
        <v>37367.915200000003</v>
      </c>
      <c r="BJ3" s="319">
        <v>38308.179300000003</v>
      </c>
      <c r="BK3" s="319">
        <v>31230.574000000001</v>
      </c>
      <c r="BL3" s="319">
        <v>26991.541300000001</v>
      </c>
      <c r="BM3" s="319">
        <v>27524.9503</v>
      </c>
      <c r="BN3" s="319">
        <v>26006.303500000002</v>
      </c>
      <c r="BO3" s="319">
        <v>31143.764300000003</v>
      </c>
      <c r="BP3" s="319">
        <v>32199.077400000002</v>
      </c>
      <c r="BQ3" s="319">
        <v>32762.817500000001</v>
      </c>
      <c r="BR3" s="319">
        <v>42114.2094</v>
      </c>
      <c r="BS3" s="319">
        <v>37957.802800000005</v>
      </c>
      <c r="BT3" s="319">
        <v>33649.740700000002</v>
      </c>
      <c r="BU3" s="319">
        <v>18321.030300000002</v>
      </c>
      <c r="BV3" s="319">
        <v>26936.1086</v>
      </c>
      <c r="BW3" s="319">
        <v>27733.0844</v>
      </c>
      <c r="BX3" s="319">
        <v>28196.418100000003</v>
      </c>
      <c r="BY3" s="319">
        <v>28402.4604</v>
      </c>
      <c r="BZ3" s="319">
        <v>28044.762600000002</v>
      </c>
      <c r="CA3" s="319">
        <v>28895.079300000001</v>
      </c>
      <c r="CB3" s="319">
        <v>33337.016600000003</v>
      </c>
      <c r="CC3" s="319">
        <v>34620.335899999998</v>
      </c>
      <c r="CD3" s="319">
        <v>42036.8128</v>
      </c>
      <c r="CE3" s="319">
        <v>46182.760399999999</v>
      </c>
      <c r="CF3" s="319">
        <v>47590.541799999999</v>
      </c>
      <c r="CG3" s="319">
        <v>43633.902099999999</v>
      </c>
      <c r="CH3" s="319">
        <v>37765.357199999999</v>
      </c>
      <c r="CI3" s="319">
        <v>40887.368699999999</v>
      </c>
      <c r="CJ3" s="319">
        <v>48290.248900000006</v>
      </c>
      <c r="CK3" s="319">
        <v>51055.608500000002</v>
      </c>
      <c r="CL3" s="363">
        <v>51226.090200000006</v>
      </c>
      <c r="CM3" s="319">
        <f t="shared" si="0"/>
        <v>32618.444412741188</v>
      </c>
      <c r="CN3" s="58"/>
      <c r="CO3" s="361" t="s">
        <v>164</v>
      </c>
      <c r="CP3" s="361" t="s">
        <v>165</v>
      </c>
      <c r="CQ3" s="361" t="s">
        <v>166</v>
      </c>
      <c r="CR3" s="361" t="s">
        <v>1</v>
      </c>
      <c r="CS3" s="58"/>
      <c r="CT3" s="58"/>
      <c r="CU3" s="58"/>
      <c r="CV3" s="58"/>
      <c r="CW3" s="58"/>
      <c r="DB3" s="75"/>
      <c r="DC3" s="75"/>
      <c r="DD3" s="75"/>
      <c r="DE3" s="75"/>
      <c r="DF3" s="75"/>
      <c r="DG3" s="75"/>
      <c r="DH3" s="75"/>
      <c r="DI3" s="75"/>
      <c r="DJ3" s="75"/>
      <c r="DK3" s="75"/>
      <c r="DL3" s="75"/>
      <c r="DM3" s="75"/>
      <c r="DN3" s="75"/>
      <c r="DO3" s="75"/>
      <c r="DP3" s="75"/>
      <c r="DQ3" s="75"/>
      <c r="DR3" s="75"/>
      <c r="DS3" s="75"/>
      <c r="DT3" s="75"/>
      <c r="DU3" s="75"/>
      <c r="DV3" s="75"/>
      <c r="DW3" s="75"/>
      <c r="DX3" s="75"/>
      <c r="DY3" s="75"/>
      <c r="DZ3" s="75"/>
      <c r="EA3" s="75"/>
      <c r="EB3" s="75"/>
      <c r="EC3" s="58"/>
      <c r="ED3" s="58"/>
      <c r="EE3" s="58"/>
      <c r="EF3" s="58"/>
      <c r="EG3" s="58"/>
      <c r="EH3" s="58"/>
      <c r="EI3" s="58"/>
      <c r="EJ3" s="58"/>
      <c r="EK3" s="58"/>
      <c r="EL3" s="58"/>
      <c r="EM3" s="58"/>
      <c r="EN3" s="58"/>
      <c r="EO3" s="58"/>
      <c r="EP3" s="58"/>
      <c r="EQ3" s="58"/>
      <c r="ER3" s="58"/>
      <c r="ES3" s="58"/>
      <c r="ET3" s="58"/>
      <c r="EU3" s="58"/>
      <c r="EV3" s="58"/>
      <c r="EW3" s="58"/>
      <c r="EX3" s="58"/>
      <c r="EY3" s="58"/>
      <c r="EZ3" s="58"/>
      <c r="FA3" s="58"/>
      <c r="FB3" s="58"/>
      <c r="FC3" s="58"/>
      <c r="FD3" s="58"/>
      <c r="FE3" s="58"/>
      <c r="FF3" s="58"/>
      <c r="FG3" s="58"/>
      <c r="FH3" s="58"/>
      <c r="FI3" s="58"/>
      <c r="FJ3" s="58"/>
      <c r="FK3" s="58"/>
      <c r="FL3" s="58"/>
      <c r="FM3" s="58"/>
      <c r="FN3" s="58"/>
      <c r="FO3" s="58"/>
      <c r="FP3" s="58"/>
      <c r="FQ3" s="58"/>
      <c r="FR3" s="58"/>
      <c r="FS3" s="58"/>
      <c r="FT3" s="58"/>
      <c r="FU3" s="58"/>
      <c r="FV3" s="58"/>
    </row>
    <row r="4" spans="1:178">
      <c r="A4" s="1050"/>
      <c r="B4" s="2" t="s">
        <v>303</v>
      </c>
      <c r="C4" s="362" t="s">
        <v>142</v>
      </c>
      <c r="D4" s="362"/>
      <c r="E4" s="58" t="s">
        <v>348</v>
      </c>
      <c r="F4" s="363" t="s">
        <v>304</v>
      </c>
      <c r="G4" s="641">
        <v>49114.0222634565</v>
      </c>
      <c r="H4" s="641">
        <v>38720.781829679996</v>
      </c>
      <c r="I4" s="641">
        <v>37409.691468650999</v>
      </c>
      <c r="J4" s="641">
        <v>30540.439970405001</v>
      </c>
      <c r="K4" s="641">
        <v>31156.107426096001</v>
      </c>
      <c r="L4" s="641">
        <v>30073.099605308002</v>
      </c>
      <c r="M4" s="641">
        <v>30845.757435424002</v>
      </c>
      <c r="N4" s="641">
        <v>31687.697930225004</v>
      </c>
      <c r="O4" s="641">
        <v>29379.747895740002</v>
      </c>
      <c r="P4" s="641">
        <v>28296.217956442502</v>
      </c>
      <c r="Q4" s="641">
        <v>27237.080130880004</v>
      </c>
      <c r="R4" s="641">
        <v>23892.252103007999</v>
      </c>
      <c r="S4" s="642">
        <v>24842.812105361998</v>
      </c>
      <c r="T4" s="642">
        <v>30106.891295556001</v>
      </c>
      <c r="U4" s="642">
        <v>33060.925121352499</v>
      </c>
      <c r="V4" s="642">
        <v>27538</v>
      </c>
      <c r="W4" s="642">
        <v>22486</v>
      </c>
      <c r="X4" s="642">
        <v>22318</v>
      </c>
      <c r="Y4" s="642">
        <v>24367</v>
      </c>
      <c r="Z4" s="642">
        <v>26626</v>
      </c>
      <c r="AA4" s="642">
        <v>25670</v>
      </c>
      <c r="AB4" s="642">
        <v>21731</v>
      </c>
      <c r="AC4" s="642">
        <v>20316</v>
      </c>
      <c r="AD4" s="642">
        <v>22355</v>
      </c>
      <c r="AE4" s="642">
        <v>25834</v>
      </c>
      <c r="AF4" s="642">
        <v>31223</v>
      </c>
      <c r="AG4" s="642">
        <v>29781</v>
      </c>
      <c r="AH4" s="642">
        <v>35242</v>
      </c>
      <c r="AI4" s="642">
        <v>41983</v>
      </c>
      <c r="AJ4" s="642">
        <v>41252</v>
      </c>
      <c r="AK4" s="642">
        <v>33014</v>
      </c>
      <c r="AL4" s="642">
        <v>26278</v>
      </c>
      <c r="AM4" s="642">
        <v>26288</v>
      </c>
      <c r="AN4" s="642">
        <v>24567</v>
      </c>
      <c r="AO4" s="642">
        <v>30788</v>
      </c>
      <c r="AP4" s="642">
        <v>33730</v>
      </c>
      <c r="AQ4" s="642">
        <v>39430</v>
      </c>
      <c r="AR4" s="642">
        <v>39325</v>
      </c>
      <c r="AS4" s="642">
        <v>38237</v>
      </c>
      <c r="AT4" s="364">
        <v>37962</v>
      </c>
      <c r="AU4" s="319">
        <v>34087</v>
      </c>
      <c r="AV4" s="319">
        <v>31645</v>
      </c>
      <c r="AW4" s="319">
        <v>32348</v>
      </c>
      <c r="AX4" s="319">
        <v>35636</v>
      </c>
      <c r="AY4" s="319">
        <v>39785</v>
      </c>
      <c r="AZ4" s="319">
        <v>40928</v>
      </c>
      <c r="BA4" s="319">
        <v>43461</v>
      </c>
      <c r="BB4" s="319">
        <v>47888</v>
      </c>
      <c r="BC4" s="319">
        <v>50290</v>
      </c>
      <c r="BD4" s="319">
        <v>39123</v>
      </c>
      <c r="BE4" s="319">
        <v>30731</v>
      </c>
      <c r="BF4" s="319">
        <v>31088</v>
      </c>
      <c r="BG4" s="319">
        <v>34978</v>
      </c>
      <c r="BH4" s="319">
        <v>37751</v>
      </c>
      <c r="BI4" s="319">
        <v>38819</v>
      </c>
      <c r="BJ4" s="319">
        <v>38673</v>
      </c>
      <c r="BK4" s="319">
        <v>30141</v>
      </c>
      <c r="BL4" s="319">
        <v>25552</v>
      </c>
      <c r="BM4" s="319">
        <v>26781</v>
      </c>
      <c r="BN4" s="319">
        <v>26749</v>
      </c>
      <c r="BO4" s="319">
        <v>32256</v>
      </c>
      <c r="BP4" s="319">
        <v>33323</v>
      </c>
      <c r="BQ4" s="319">
        <v>33880</v>
      </c>
      <c r="BR4" s="319">
        <v>43977</v>
      </c>
      <c r="BS4" s="319">
        <v>40964</v>
      </c>
      <c r="BT4" s="319">
        <v>37562</v>
      </c>
      <c r="BU4" s="319">
        <v>19117</v>
      </c>
      <c r="BV4" s="319">
        <v>26936</v>
      </c>
      <c r="BW4" s="319">
        <v>26148</v>
      </c>
      <c r="BX4" s="319">
        <v>26630</v>
      </c>
      <c r="BY4" s="319">
        <v>26846</v>
      </c>
      <c r="BZ4" s="319">
        <v>27277</v>
      </c>
      <c r="CA4" s="319">
        <v>29280</v>
      </c>
      <c r="CB4" s="319">
        <v>34113</v>
      </c>
      <c r="CC4" s="319">
        <v>35389</v>
      </c>
      <c r="CD4" s="319">
        <v>40508</v>
      </c>
      <c r="CE4" s="319">
        <v>44656</v>
      </c>
      <c r="CF4" s="319">
        <v>45306</v>
      </c>
      <c r="CG4" s="319">
        <v>41297</v>
      </c>
      <c r="CH4" s="319">
        <v>36240</v>
      </c>
      <c r="CI4" s="319">
        <v>40502</v>
      </c>
      <c r="CJ4" s="319">
        <v>48290</v>
      </c>
      <c r="CK4" s="319">
        <v>50669</v>
      </c>
      <c r="CL4" s="363">
        <v>51226</v>
      </c>
      <c r="CM4" s="319">
        <f t="shared" si="0"/>
        <v>33494.649101637937</v>
      </c>
      <c r="CN4" s="75" t="s">
        <v>167</v>
      </c>
      <c r="CO4" s="365">
        <f>'Cracker Yields'!H15</f>
        <v>0.98795180722891562</v>
      </c>
      <c r="CP4" s="365">
        <f>'Cracker Yields'!I15</f>
        <v>0.65714285714285725</v>
      </c>
      <c r="CQ4" s="365">
        <f>'Cracker Yields'!J15</f>
        <v>0.57894736842105254</v>
      </c>
      <c r="CR4" s="365">
        <f>'Cracker Yields'!K15</f>
        <v>0.57894736842105254</v>
      </c>
      <c r="CS4" s="75"/>
      <c r="CT4" s="75"/>
      <c r="CU4" s="75"/>
      <c r="CV4" s="75"/>
      <c r="CW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row>
    <row r="5" spans="1:178">
      <c r="A5" s="1050"/>
      <c r="B5" s="2" t="s">
        <v>303</v>
      </c>
      <c r="C5" s="362" t="s">
        <v>142</v>
      </c>
      <c r="D5" s="362"/>
      <c r="E5" s="58" t="s">
        <v>348</v>
      </c>
      <c r="F5" s="363" t="s">
        <v>1</v>
      </c>
      <c r="G5" s="641">
        <v>43795.254251265251</v>
      </c>
      <c r="H5" s="641">
        <v>39372.856157341615</v>
      </c>
      <c r="I5" s="641">
        <v>31355.674004184344</v>
      </c>
      <c r="J5" s="641">
        <v>24668.238927484857</v>
      </c>
      <c r="K5" s="641">
        <v>31319.653679242587</v>
      </c>
      <c r="L5" s="641">
        <v>31239.954338946009</v>
      </c>
      <c r="M5" s="641">
        <v>32952.324200278599</v>
      </c>
      <c r="N5" s="641">
        <v>35109.121548311748</v>
      </c>
      <c r="O5" s="641">
        <v>34103.66608870952</v>
      </c>
      <c r="P5" s="641">
        <v>29313.459758319121</v>
      </c>
      <c r="Q5" s="641">
        <v>26038.256535514149</v>
      </c>
      <c r="R5" s="641">
        <v>27739.527991571038</v>
      </c>
      <c r="S5" s="642">
        <v>28779.988419928402</v>
      </c>
      <c r="T5" s="642">
        <v>29027.523661916253</v>
      </c>
      <c r="U5" s="642">
        <v>26802.089663119601</v>
      </c>
      <c r="V5" s="642">
        <v>21780.499304849996</v>
      </c>
      <c r="W5" s="642">
        <v>20739.762852789474</v>
      </c>
      <c r="X5" s="642">
        <v>23330.292451113633</v>
      </c>
      <c r="Y5" s="642">
        <v>25364.462440904761</v>
      </c>
      <c r="Z5" s="642">
        <v>26675.828392799998</v>
      </c>
      <c r="AA5" s="642">
        <v>27652.410662948863</v>
      </c>
      <c r="AB5" s="642">
        <v>25182.533081500002</v>
      </c>
      <c r="AC5" s="642">
        <v>24080.398549454549</v>
      </c>
      <c r="AD5" s="642">
        <v>25703.133228250001</v>
      </c>
      <c r="AE5" s="642">
        <v>28780.376457514285</v>
      </c>
      <c r="AF5" s="642">
        <v>28633.081336045456</v>
      </c>
      <c r="AG5" s="642">
        <v>31531.404635083334</v>
      </c>
      <c r="AH5" s="642">
        <v>33960.714218949994</v>
      </c>
      <c r="AI5" s="642">
        <v>33879.431891562497</v>
      </c>
      <c r="AJ5" s="642">
        <v>29951.912082499999</v>
      </c>
      <c r="AK5" s="642">
        <v>30231.061384684213</v>
      </c>
      <c r="AL5" s="642">
        <v>28145.297393249995</v>
      </c>
      <c r="AM5" s="642">
        <v>26020.404503035716</v>
      </c>
      <c r="AN5" s="642">
        <v>26636.680307847615</v>
      </c>
      <c r="AO5" s="642">
        <v>29030.423349261364</v>
      </c>
      <c r="AP5" s="642">
        <v>32011.783330000006</v>
      </c>
      <c r="AQ5" s="642">
        <v>33693.017533714286</v>
      </c>
      <c r="AR5" s="642">
        <v>37483.920843068183</v>
      </c>
      <c r="AS5" s="642">
        <v>37300.584336</v>
      </c>
      <c r="AT5" s="364">
        <v>37935.390146818187</v>
      </c>
      <c r="AU5" s="319">
        <v>35578.665434736846</v>
      </c>
      <c r="AV5" s="319">
        <v>36648.610265714284</v>
      </c>
      <c r="AW5" s="319">
        <v>39253.54546914286</v>
      </c>
      <c r="AX5" s="319">
        <v>44789.555812678576</v>
      </c>
      <c r="AY5" s="319">
        <v>42881.765340000005</v>
      </c>
      <c r="AZ5" s="319">
        <v>44322.291034227266</v>
      </c>
      <c r="BA5" s="319">
        <v>45122.555986249994</v>
      </c>
      <c r="BB5" s="319">
        <v>48924.528864499996</v>
      </c>
      <c r="BC5" s="319">
        <v>49316.956478749998</v>
      </c>
      <c r="BD5" s="319">
        <v>36453.949961220242</v>
      </c>
      <c r="BE5" s="319">
        <v>32315.322092655559</v>
      </c>
      <c r="BF5" s="319">
        <v>32439.798073045458</v>
      </c>
      <c r="BG5" s="319">
        <v>35864.782606111112</v>
      </c>
      <c r="BH5" s="319">
        <v>37316.136440000002</v>
      </c>
      <c r="BI5" s="319">
        <v>39665.62184032143</v>
      </c>
      <c r="BJ5" s="319">
        <v>37645.409098839285</v>
      </c>
      <c r="BK5" s="319">
        <v>32175.708466494736</v>
      </c>
      <c r="BL5" s="319">
        <v>34496.400269999998</v>
      </c>
      <c r="BM5" s="319">
        <v>32177.940726562498</v>
      </c>
      <c r="BN5" s="319">
        <v>34331.051881038096</v>
      </c>
      <c r="BO5" s="319">
        <v>34641.378817818179</v>
      </c>
      <c r="BP5" s="319">
        <v>37092.09868792857</v>
      </c>
      <c r="BQ5" s="319">
        <v>38834.323772914286</v>
      </c>
      <c r="BR5" s="319">
        <v>37821.296446952379</v>
      </c>
      <c r="BS5" s="319">
        <v>33364.414207249996</v>
      </c>
      <c r="BT5" s="319">
        <v>19098.806741227272</v>
      </c>
      <c r="BU5" s="319">
        <v>8753.5138267619041</v>
      </c>
      <c r="BV5" s="319">
        <v>15375.193039333331</v>
      </c>
      <c r="BW5" s="319">
        <v>26406.268105875002</v>
      </c>
      <c r="BX5" s="319">
        <v>29043.101701999996</v>
      </c>
      <c r="BY5" s="319">
        <v>28655.267672775</v>
      </c>
      <c r="BZ5" s="319">
        <v>28394.559681545452</v>
      </c>
      <c r="CA5" s="319">
        <v>28076.937099772727</v>
      </c>
      <c r="CB5" s="319">
        <v>27534.847966999998</v>
      </c>
      <c r="CC5" s="319">
        <v>31698.791830499998</v>
      </c>
      <c r="CD5" s="319">
        <v>36994.520061324998</v>
      </c>
      <c r="CE5" s="319">
        <v>40747.001346842109</v>
      </c>
      <c r="CF5" s="319">
        <v>42341.271955250006</v>
      </c>
      <c r="CG5" s="319">
        <v>41459.590669607147</v>
      </c>
      <c r="CH5" s="319">
        <v>43304.111862747362</v>
      </c>
      <c r="CI5" s="319">
        <v>46980.56159669318</v>
      </c>
      <c r="CJ5" s="319">
        <v>50491.414421077381</v>
      </c>
      <c r="CK5" s="319">
        <v>47081.39285959999</v>
      </c>
      <c r="CL5" s="363">
        <v>49739.955535732952</v>
      </c>
      <c r="CM5" s="319">
        <f t="shared" si="0"/>
        <v>33250.042976082106</v>
      </c>
      <c r="CN5" s="75" t="s">
        <v>168</v>
      </c>
      <c r="CO5" s="365">
        <f>'Cracker Yields'!H16</f>
        <v>1.2048192771084376E-2</v>
      </c>
      <c r="CP5" s="365">
        <f>'Cracker Yields'!I16</f>
        <v>0.34285714285714275</v>
      </c>
      <c r="CQ5" s="365">
        <f>'Cracker Yields'!J16</f>
        <v>0.42105263157894746</v>
      </c>
      <c r="CR5" s="365">
        <f>'Cracker Yields'!K16</f>
        <v>0.42105263157894746</v>
      </c>
      <c r="CS5" s="75"/>
      <c r="CT5" s="75"/>
      <c r="CU5" s="75"/>
      <c r="CV5" s="75"/>
      <c r="CW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366">
        <v>52.32</v>
      </c>
      <c r="ED5" s="75"/>
      <c r="EE5" s="75"/>
      <c r="EF5" s="75"/>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row>
    <row r="6" spans="1:178">
      <c r="A6" s="1051"/>
      <c r="B6" s="224" t="s">
        <v>305</v>
      </c>
      <c r="C6" s="367" t="s">
        <v>306</v>
      </c>
      <c r="D6" s="367"/>
      <c r="E6" s="236" t="s">
        <v>348</v>
      </c>
      <c r="F6" s="368" t="s">
        <v>307</v>
      </c>
      <c r="G6" s="368">
        <v>690</v>
      </c>
      <c r="H6" s="368">
        <v>680</v>
      </c>
      <c r="I6" s="368">
        <v>640</v>
      </c>
      <c r="J6" s="368">
        <v>620</v>
      </c>
      <c r="K6" s="368">
        <v>595</v>
      </c>
      <c r="L6" s="368">
        <v>614</v>
      </c>
      <c r="M6" s="368">
        <v>602</v>
      </c>
      <c r="N6" s="368">
        <v>591</v>
      </c>
      <c r="O6" s="368">
        <v>582</v>
      </c>
      <c r="P6" s="368">
        <v>564</v>
      </c>
      <c r="Q6" s="368">
        <v>577</v>
      </c>
      <c r="R6" s="368">
        <v>544</v>
      </c>
      <c r="S6" s="319">
        <v>549</v>
      </c>
      <c r="T6" s="369">
        <v>562</v>
      </c>
      <c r="U6" s="369">
        <v>575</v>
      </c>
      <c r="V6" s="319">
        <v>588</v>
      </c>
      <c r="W6" s="369">
        <v>600</v>
      </c>
      <c r="X6" s="369">
        <v>614</v>
      </c>
      <c r="Y6" s="369">
        <v>628</v>
      </c>
      <c r="Z6" s="369">
        <v>638</v>
      </c>
      <c r="AA6" s="369">
        <v>651</v>
      </c>
      <c r="AB6" s="369">
        <v>664</v>
      </c>
      <c r="AC6" s="369">
        <v>677</v>
      </c>
      <c r="AD6" s="319">
        <v>689</v>
      </c>
      <c r="AE6" s="369">
        <v>602</v>
      </c>
      <c r="AF6" s="369">
        <v>615</v>
      </c>
      <c r="AG6" s="369">
        <v>628</v>
      </c>
      <c r="AH6" s="319">
        <v>640</v>
      </c>
      <c r="AI6" s="369">
        <v>654</v>
      </c>
      <c r="AJ6" s="369">
        <v>644</v>
      </c>
      <c r="AK6" s="369">
        <v>679</v>
      </c>
      <c r="AL6" s="369">
        <v>691</v>
      </c>
      <c r="AM6" s="369">
        <v>704</v>
      </c>
      <c r="AN6" s="369">
        <v>717</v>
      </c>
      <c r="AO6" s="369">
        <v>629.54360858123698</v>
      </c>
      <c r="AP6" s="369">
        <v>642.28255936563301</v>
      </c>
      <c r="AQ6" s="369">
        <v>655.02151015003005</v>
      </c>
      <c r="AR6" s="369">
        <v>667.76046093442596</v>
      </c>
      <c r="AS6" s="369">
        <v>680.49941171882301</v>
      </c>
      <c r="AT6" s="369">
        <v>693.23836250321904</v>
      </c>
      <c r="AU6" s="369">
        <v>725</v>
      </c>
      <c r="AV6" s="369">
        <v>731</v>
      </c>
      <c r="AW6" s="369">
        <v>683.35192411641094</v>
      </c>
      <c r="AX6" s="369">
        <v>727.45879248730159</v>
      </c>
      <c r="AY6" s="369">
        <v>790.46535767833188</v>
      </c>
      <c r="AZ6" s="369">
        <v>835.82228336641663</v>
      </c>
      <c r="BA6" s="369">
        <v>855.64779771974872</v>
      </c>
      <c r="BB6" s="369">
        <v>831.01152604586082</v>
      </c>
      <c r="BC6" s="369">
        <v>894.32305357357711</v>
      </c>
      <c r="BD6" s="369">
        <v>848.00352710543211</v>
      </c>
      <c r="BE6" s="369">
        <v>762.53950609685091</v>
      </c>
      <c r="BF6" s="369">
        <v>747.97322905859232</v>
      </c>
      <c r="BG6" s="369">
        <v>816.24945468112071</v>
      </c>
      <c r="BH6" s="369">
        <v>713.84568622483982</v>
      </c>
      <c r="BI6" s="369">
        <v>547.77</v>
      </c>
      <c r="BJ6" s="369">
        <v>505.25</v>
      </c>
      <c r="BK6" s="369">
        <v>522.21</v>
      </c>
      <c r="BL6" s="369">
        <v>559.08000000000004</v>
      </c>
      <c r="BM6" s="369">
        <v>496.47</v>
      </c>
      <c r="BN6" s="369">
        <v>463.19</v>
      </c>
      <c r="BO6" s="369">
        <v>620.35</v>
      </c>
      <c r="BP6" s="369">
        <v>540.62</v>
      </c>
      <c r="BQ6" s="369">
        <v>605.28</v>
      </c>
      <c r="BR6" s="369">
        <v>485.79</v>
      </c>
      <c r="BS6" s="369">
        <v>478.65</v>
      </c>
      <c r="BT6" s="369">
        <v>313.06</v>
      </c>
      <c r="BU6" s="369">
        <v>546.95000000000005</v>
      </c>
      <c r="BV6" s="369">
        <v>498.46</v>
      </c>
      <c r="BW6" s="369">
        <v>285.66000000000003</v>
      </c>
      <c r="BX6" s="369">
        <v>264.85000000000002</v>
      </c>
      <c r="BY6" s="369">
        <v>334.58</v>
      </c>
      <c r="BZ6" s="369">
        <v>410.09</v>
      </c>
      <c r="CA6" s="369">
        <v>471.71</v>
      </c>
      <c r="CB6" s="369">
        <v>532.29999999999995</v>
      </c>
      <c r="CC6" s="369">
        <v>588.39</v>
      </c>
      <c r="CD6" s="369">
        <v>675.69</v>
      </c>
      <c r="CE6" s="369">
        <v>872.05</v>
      </c>
      <c r="CF6" s="369">
        <v>766.06</v>
      </c>
      <c r="CG6" s="369">
        <v>565.04999999999995</v>
      </c>
      <c r="CH6" s="369">
        <v>567.25</v>
      </c>
      <c r="CI6" s="369">
        <v>619.33000000000004</v>
      </c>
      <c r="CJ6" s="369">
        <v>708.17</v>
      </c>
      <c r="CK6" s="369">
        <v>868.98</v>
      </c>
      <c r="CL6" s="370">
        <v>938.53</v>
      </c>
      <c r="CM6" s="319">
        <f t="shared" si="0"/>
        <v>629.65307204056967</v>
      </c>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58"/>
      <c r="FB6" s="58"/>
      <c r="FC6" s="58"/>
      <c r="FD6" s="58"/>
      <c r="FE6" s="58"/>
      <c r="FF6" s="58"/>
      <c r="FG6" s="58"/>
      <c r="FH6" s="58"/>
      <c r="FI6" s="58"/>
      <c r="FJ6" s="58"/>
      <c r="FK6" s="58"/>
      <c r="FL6" s="58"/>
      <c r="FM6" s="58"/>
      <c r="FN6" s="58"/>
      <c r="FO6" s="58"/>
      <c r="FP6" s="58"/>
      <c r="FQ6" s="58"/>
      <c r="FR6" s="58"/>
      <c r="FS6" s="58"/>
      <c r="FT6" s="58"/>
      <c r="FU6" s="58"/>
      <c r="FV6" s="58"/>
    </row>
    <row r="7" spans="1:178">
      <c r="A7" s="1052" t="s">
        <v>308</v>
      </c>
      <c r="B7" s="286" t="s">
        <v>305</v>
      </c>
      <c r="C7" s="356" t="s">
        <v>142</v>
      </c>
      <c r="D7" s="356"/>
      <c r="E7" s="371" t="s">
        <v>348</v>
      </c>
      <c r="F7" s="372" t="s">
        <v>137</v>
      </c>
      <c r="G7" s="373">
        <v>56500</v>
      </c>
      <c r="H7" s="373">
        <v>56300</v>
      </c>
      <c r="I7" s="373">
        <v>56100</v>
      </c>
      <c r="J7" s="373">
        <v>55900</v>
      </c>
      <c r="K7" s="373">
        <v>55800</v>
      </c>
      <c r="L7" s="373">
        <v>55600</v>
      </c>
      <c r="M7" s="373">
        <v>55200</v>
      </c>
      <c r="N7" s="373">
        <v>57300</v>
      </c>
      <c r="O7" s="373">
        <v>54100</v>
      </c>
      <c r="P7" s="373">
        <v>55200</v>
      </c>
      <c r="Q7" s="373">
        <v>52300</v>
      </c>
      <c r="R7" s="373">
        <v>45600</v>
      </c>
      <c r="S7" s="373">
        <v>47020</v>
      </c>
      <c r="T7" s="373">
        <v>45750</v>
      </c>
      <c r="U7" s="373">
        <v>46150</v>
      </c>
      <c r="V7" s="373">
        <v>45650</v>
      </c>
      <c r="W7" s="373">
        <v>36940</v>
      </c>
      <c r="X7" s="373">
        <v>36950</v>
      </c>
      <c r="Y7" s="373">
        <v>37390</v>
      </c>
      <c r="Z7" s="373">
        <v>37950</v>
      </c>
      <c r="AA7" s="373">
        <v>38680</v>
      </c>
      <c r="AB7" s="373">
        <v>39250</v>
      </c>
      <c r="AC7" s="373">
        <v>39610</v>
      </c>
      <c r="AD7" s="373">
        <v>39920</v>
      </c>
      <c r="AE7" s="373">
        <v>39990</v>
      </c>
      <c r="AF7" s="373">
        <v>40250</v>
      </c>
      <c r="AG7" s="373">
        <v>41270</v>
      </c>
      <c r="AH7" s="373">
        <v>42350</v>
      </c>
      <c r="AI7" s="373">
        <v>57680</v>
      </c>
      <c r="AJ7" s="373">
        <v>60070</v>
      </c>
      <c r="AK7" s="373">
        <v>58600</v>
      </c>
      <c r="AL7" s="373">
        <v>56250</v>
      </c>
      <c r="AM7" s="373">
        <v>54760</v>
      </c>
      <c r="AN7" s="373">
        <v>53400</v>
      </c>
      <c r="AO7" s="373">
        <v>52470</v>
      </c>
      <c r="AP7" s="373">
        <v>51630</v>
      </c>
      <c r="AQ7" s="373">
        <v>52140</v>
      </c>
      <c r="AR7" s="373">
        <v>52030</v>
      </c>
      <c r="AS7" s="373">
        <v>51990</v>
      </c>
      <c r="AT7" s="373">
        <v>57152</v>
      </c>
      <c r="AU7" s="373">
        <v>58526</v>
      </c>
      <c r="AV7" s="373">
        <v>58277</v>
      </c>
      <c r="AW7" s="373">
        <v>55909</v>
      </c>
      <c r="AX7" s="373">
        <v>55303</v>
      </c>
      <c r="AY7" s="373">
        <v>58424</v>
      </c>
      <c r="AZ7" s="373">
        <v>56706</v>
      </c>
      <c r="BA7" s="373">
        <v>57565</v>
      </c>
      <c r="BB7" s="373">
        <v>61481</v>
      </c>
      <c r="BC7" s="373">
        <v>61877</v>
      </c>
      <c r="BD7" s="373">
        <v>61367</v>
      </c>
      <c r="BE7" s="373">
        <v>49658</v>
      </c>
      <c r="BF7" s="373">
        <v>41296</v>
      </c>
      <c r="BG7" s="373">
        <v>39412</v>
      </c>
      <c r="BH7" s="373">
        <v>42670</v>
      </c>
      <c r="BI7" s="373">
        <v>42621</v>
      </c>
      <c r="BJ7" s="373">
        <v>43930</v>
      </c>
      <c r="BK7" s="373">
        <v>44300</v>
      </c>
      <c r="BL7" s="373">
        <v>44000</v>
      </c>
      <c r="BM7" s="373">
        <v>46900</v>
      </c>
      <c r="BN7" s="373">
        <v>48100</v>
      </c>
      <c r="BO7" s="373">
        <v>52100</v>
      </c>
      <c r="BP7" s="373">
        <v>48600</v>
      </c>
      <c r="BQ7" s="373">
        <v>47000</v>
      </c>
      <c r="BR7" s="373">
        <v>52400</v>
      </c>
      <c r="BS7" s="373">
        <v>52900</v>
      </c>
      <c r="BT7" s="373">
        <v>48400</v>
      </c>
      <c r="BU7" s="373">
        <v>37400</v>
      </c>
      <c r="BV7" s="373">
        <v>24900</v>
      </c>
      <c r="BW7" s="373">
        <v>30300</v>
      </c>
      <c r="BX7" s="373">
        <v>33900</v>
      </c>
      <c r="BY7" s="373">
        <v>33100</v>
      </c>
      <c r="BZ7" s="373">
        <v>34400</v>
      </c>
      <c r="CA7" s="373">
        <v>32600</v>
      </c>
      <c r="CB7" s="373">
        <v>32500</v>
      </c>
      <c r="CC7" s="373">
        <v>40800</v>
      </c>
      <c r="CD7" s="373">
        <v>47900</v>
      </c>
      <c r="CE7" s="373">
        <v>48900</v>
      </c>
      <c r="CF7" s="373">
        <v>57200</v>
      </c>
      <c r="CG7" s="373">
        <v>62200</v>
      </c>
      <c r="CH7" s="373">
        <v>70100</v>
      </c>
      <c r="CI7" s="373">
        <v>75100</v>
      </c>
      <c r="CJ7" s="373">
        <v>71430</v>
      </c>
      <c r="CK7" s="373">
        <v>78990</v>
      </c>
      <c r="CL7" s="373">
        <v>72940</v>
      </c>
      <c r="CM7" s="373">
        <f t="shared" si="0"/>
        <v>49804.452380952382</v>
      </c>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58"/>
      <c r="EO7" s="58"/>
      <c r="EP7" s="58"/>
      <c r="EQ7" s="58"/>
      <c r="ER7" s="58"/>
      <c r="ES7" s="58"/>
      <c r="ET7" s="58"/>
      <c r="EU7" s="58"/>
      <c r="EV7" s="58"/>
      <c r="EW7" s="58"/>
      <c r="EX7" s="58"/>
      <c r="EY7" s="58"/>
      <c r="EZ7" s="58"/>
      <c r="FA7" s="58"/>
      <c r="FB7" s="58"/>
      <c r="FC7" s="58"/>
      <c r="FD7" s="58"/>
      <c r="FE7" s="58"/>
      <c r="FF7" s="58"/>
      <c r="FG7" s="58"/>
      <c r="FH7" s="58"/>
      <c r="FI7" s="58"/>
      <c r="FJ7" s="58"/>
      <c r="FK7" s="58"/>
      <c r="FL7" s="58"/>
      <c r="FM7" s="58"/>
      <c r="FN7" s="58"/>
      <c r="FO7" s="58"/>
      <c r="FP7" s="58"/>
      <c r="FQ7" s="58"/>
      <c r="FR7" s="58"/>
      <c r="FS7" s="58"/>
      <c r="FT7" s="58"/>
      <c r="FU7" s="58"/>
      <c r="FV7" s="58"/>
    </row>
    <row r="8" spans="1:178">
      <c r="A8" s="1053"/>
      <c r="B8" s="2" t="s">
        <v>305</v>
      </c>
      <c r="C8" s="362" t="s">
        <v>142</v>
      </c>
      <c r="D8" s="362"/>
      <c r="E8" s="235" t="s">
        <v>348</v>
      </c>
      <c r="F8" s="380" t="s">
        <v>403</v>
      </c>
      <c r="G8" s="376">
        <v>78900</v>
      </c>
      <c r="H8" s="376">
        <v>75500</v>
      </c>
      <c r="I8" s="376">
        <v>76300</v>
      </c>
      <c r="J8" s="376">
        <v>77300</v>
      </c>
      <c r="K8" s="376">
        <v>74500</v>
      </c>
      <c r="L8" s="376">
        <v>78800</v>
      </c>
      <c r="M8" s="376">
        <v>75500</v>
      </c>
      <c r="N8" s="376">
        <v>77200</v>
      </c>
      <c r="O8" s="376">
        <v>71900</v>
      </c>
      <c r="P8" s="376">
        <v>74600</v>
      </c>
      <c r="Q8" s="376">
        <v>72500</v>
      </c>
      <c r="R8" s="376">
        <v>70300</v>
      </c>
      <c r="S8" s="376">
        <v>69049</v>
      </c>
      <c r="T8" s="376">
        <v>68803</v>
      </c>
      <c r="U8" s="376">
        <v>60570</v>
      </c>
      <c r="V8" s="376">
        <v>69050</v>
      </c>
      <c r="W8" s="376">
        <v>64550</v>
      </c>
      <c r="X8" s="376">
        <v>64300</v>
      </c>
      <c r="Y8" s="376">
        <v>69051</v>
      </c>
      <c r="Z8" s="376">
        <v>64800</v>
      </c>
      <c r="AA8" s="376">
        <v>67700</v>
      </c>
      <c r="AB8" s="376">
        <v>69052</v>
      </c>
      <c r="AC8" s="376">
        <v>69405</v>
      </c>
      <c r="AD8" s="376">
        <v>63700</v>
      </c>
      <c r="AE8" s="376">
        <v>69053</v>
      </c>
      <c r="AF8" s="376">
        <v>62939</v>
      </c>
      <c r="AG8" s="376">
        <v>65350</v>
      </c>
      <c r="AH8" s="376">
        <v>69054</v>
      </c>
      <c r="AI8" s="376">
        <v>63700</v>
      </c>
      <c r="AJ8" s="376">
        <v>61750</v>
      </c>
      <c r="AK8" s="376">
        <v>69055</v>
      </c>
      <c r="AL8" s="376">
        <v>68800</v>
      </c>
      <c r="AM8" s="376">
        <v>63500</v>
      </c>
      <c r="AN8" s="376">
        <v>69056</v>
      </c>
      <c r="AO8" s="376">
        <v>64500</v>
      </c>
      <c r="AP8" s="376">
        <v>64580</v>
      </c>
      <c r="AQ8" s="376">
        <v>69057</v>
      </c>
      <c r="AR8" s="376">
        <v>62925</v>
      </c>
      <c r="AS8" s="376">
        <v>71158</v>
      </c>
      <c r="AT8" s="376">
        <v>69058</v>
      </c>
      <c r="AU8" s="376">
        <v>79391</v>
      </c>
      <c r="AV8" s="376">
        <v>87624</v>
      </c>
      <c r="AW8" s="376">
        <v>91678</v>
      </c>
      <c r="AX8" s="376">
        <v>90255</v>
      </c>
      <c r="AY8" s="376">
        <v>110428</v>
      </c>
      <c r="AZ8" s="376">
        <v>113142</v>
      </c>
      <c r="BA8" s="376">
        <v>109389</v>
      </c>
      <c r="BB8" s="376">
        <v>117818</v>
      </c>
      <c r="BC8" s="376">
        <v>104990</v>
      </c>
      <c r="BD8" s="376">
        <v>79612</v>
      </c>
      <c r="BE8" s="376">
        <v>76089</v>
      </c>
      <c r="BF8" s="376">
        <v>79660</v>
      </c>
      <c r="BG8" s="376">
        <v>80367</v>
      </c>
      <c r="BH8" s="376">
        <v>75404</v>
      </c>
      <c r="BI8" s="376">
        <v>71634</v>
      </c>
      <c r="BJ8" s="376">
        <v>63615</v>
      </c>
      <c r="BK8" s="376">
        <v>66900</v>
      </c>
      <c r="BL8" s="376">
        <v>74300</v>
      </c>
      <c r="BM8" s="376">
        <v>76800</v>
      </c>
      <c r="BN8" s="376">
        <v>85000</v>
      </c>
      <c r="BO8" s="376">
        <v>87600</v>
      </c>
      <c r="BP8" s="376">
        <v>81700</v>
      </c>
      <c r="BQ8" s="376">
        <v>62200</v>
      </c>
      <c r="BR8" s="376">
        <v>63400</v>
      </c>
      <c r="BS8" s="376">
        <v>65100</v>
      </c>
      <c r="BT8" s="376">
        <v>56000</v>
      </c>
      <c r="BU8" s="376">
        <v>50100</v>
      </c>
      <c r="BV8" s="376">
        <v>28400</v>
      </c>
      <c r="BW8" s="376">
        <v>21600</v>
      </c>
      <c r="BX8" s="376">
        <v>22700</v>
      </c>
      <c r="BY8" s="376">
        <v>28600</v>
      </c>
      <c r="BZ8" s="376">
        <v>40200</v>
      </c>
      <c r="CA8" s="376">
        <v>50700</v>
      </c>
      <c r="CB8" s="376">
        <v>66900</v>
      </c>
      <c r="CC8" s="376">
        <v>94800</v>
      </c>
      <c r="CD8" s="376">
        <v>86100</v>
      </c>
      <c r="CE8" s="376">
        <v>58900</v>
      </c>
      <c r="CF8" s="376">
        <v>57400</v>
      </c>
      <c r="CG8" s="376">
        <v>80900</v>
      </c>
      <c r="CH8" s="376">
        <v>72100</v>
      </c>
      <c r="CI8" s="376">
        <v>73600</v>
      </c>
      <c r="CJ8" s="376">
        <v>88040</v>
      </c>
      <c r="CK8" s="376">
        <v>107190</v>
      </c>
      <c r="CL8" s="376">
        <v>116560</v>
      </c>
      <c r="CM8" s="376">
        <f t="shared" si="0"/>
        <v>72163.702380952382</v>
      </c>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row>
    <row r="9" spans="1:178">
      <c r="A9" s="1053"/>
      <c r="B9" s="2" t="s">
        <v>305</v>
      </c>
      <c r="C9" s="362" t="s">
        <v>142</v>
      </c>
      <c r="D9" s="362"/>
      <c r="E9" s="235" t="s">
        <v>348</v>
      </c>
      <c r="F9" s="380" t="s">
        <v>136</v>
      </c>
      <c r="G9" s="376">
        <v>24398.880000000001</v>
      </c>
      <c r="H9" s="376">
        <v>25035.784242424201</v>
      </c>
      <c r="I9" s="376">
        <v>25672.688484848499</v>
      </c>
      <c r="J9" s="376">
        <v>26309.592727272699</v>
      </c>
      <c r="K9" s="376">
        <v>26946.496969697</v>
      </c>
      <c r="L9" s="376">
        <v>27583.4012121212</v>
      </c>
      <c r="M9" s="376">
        <v>28220.305454545502</v>
      </c>
      <c r="N9" s="376">
        <v>28857.209696969701</v>
      </c>
      <c r="O9" s="376">
        <v>29494.113939393901</v>
      </c>
      <c r="P9" s="376">
        <v>30131.018181818199</v>
      </c>
      <c r="Q9" s="376">
        <v>30767.922424242399</v>
      </c>
      <c r="R9" s="376">
        <v>31404.8266666667</v>
      </c>
      <c r="S9" s="376">
        <v>31722.6</v>
      </c>
      <c r="T9" s="376">
        <v>32547.5</v>
      </c>
      <c r="U9" s="376">
        <v>34500</v>
      </c>
      <c r="V9" s="376">
        <v>33372.400000000001</v>
      </c>
      <c r="W9" s="376">
        <v>34197.300000000003</v>
      </c>
      <c r="X9" s="376">
        <v>35022.199999999997</v>
      </c>
      <c r="Y9" s="376">
        <v>35847.1</v>
      </c>
      <c r="Z9" s="376">
        <v>37700</v>
      </c>
      <c r="AA9" s="376">
        <v>36672</v>
      </c>
      <c r="AB9" s="376">
        <v>37496.9</v>
      </c>
      <c r="AC9" s="376">
        <v>38321.800000000003</v>
      </c>
      <c r="AD9" s="376">
        <v>39146.699999999997</v>
      </c>
      <c r="AE9" s="376">
        <v>35300</v>
      </c>
      <c r="AF9" s="376">
        <v>39971.599999999999</v>
      </c>
      <c r="AG9" s="376">
        <v>40796.5</v>
      </c>
      <c r="AH9" s="376">
        <v>41621.4</v>
      </c>
      <c r="AI9" s="376">
        <v>42446.3</v>
      </c>
      <c r="AJ9" s="376">
        <v>38276</v>
      </c>
      <c r="AK9" s="376">
        <v>40271.199999999997</v>
      </c>
      <c r="AL9" s="376">
        <v>40096.1</v>
      </c>
      <c r="AM9" s="376">
        <v>41921</v>
      </c>
      <c r="AN9" s="376">
        <v>40745.9</v>
      </c>
      <c r="AO9" s="376">
        <v>40250</v>
      </c>
      <c r="AP9" s="376">
        <v>41570.800000000003</v>
      </c>
      <c r="AQ9" s="376">
        <v>39395.699999999997</v>
      </c>
      <c r="AR9" s="376">
        <v>38220.6</v>
      </c>
      <c r="AS9" s="376">
        <v>39045.5</v>
      </c>
      <c r="AT9" s="376">
        <v>40278</v>
      </c>
      <c r="AU9" s="376">
        <v>40825</v>
      </c>
      <c r="AV9" s="376">
        <v>39651</v>
      </c>
      <c r="AW9" s="376">
        <v>40745</v>
      </c>
      <c r="AX9" s="376">
        <v>43210</v>
      </c>
      <c r="AY9" s="376">
        <v>49220</v>
      </c>
      <c r="AZ9" s="376">
        <v>47166</v>
      </c>
      <c r="BA9" s="376">
        <v>48765</v>
      </c>
      <c r="BB9" s="376">
        <v>49461</v>
      </c>
      <c r="BC9" s="376">
        <v>53775</v>
      </c>
      <c r="BD9" s="376">
        <v>54370</v>
      </c>
      <c r="BE9" s="376">
        <v>41640</v>
      </c>
      <c r="BF9" s="376">
        <v>37117</v>
      </c>
      <c r="BG9" s="376">
        <v>37203</v>
      </c>
      <c r="BH9" s="376">
        <v>40633</v>
      </c>
      <c r="BI9" s="376">
        <v>41946</v>
      </c>
      <c r="BJ9" s="376">
        <v>44260</v>
      </c>
      <c r="BK9" s="376">
        <v>46500</v>
      </c>
      <c r="BL9" s="376">
        <v>40900</v>
      </c>
      <c r="BM9" s="376">
        <v>43100</v>
      </c>
      <c r="BN9" s="376">
        <v>41200</v>
      </c>
      <c r="BO9" s="376">
        <v>43200</v>
      </c>
      <c r="BP9" s="376">
        <v>43200</v>
      </c>
      <c r="BQ9" s="376">
        <v>45400</v>
      </c>
      <c r="BR9" s="376">
        <v>48300</v>
      </c>
      <c r="BS9" s="376">
        <v>47500</v>
      </c>
      <c r="BT9" s="376">
        <v>43200</v>
      </c>
      <c r="BU9" s="376">
        <v>30300</v>
      </c>
      <c r="BV9" s="376">
        <v>20000</v>
      </c>
      <c r="BW9" s="376">
        <v>25600</v>
      </c>
      <c r="BX9" s="376">
        <v>36800</v>
      </c>
      <c r="BY9" s="376">
        <v>39400</v>
      </c>
      <c r="BZ9" s="376">
        <v>39300</v>
      </c>
      <c r="CA9" s="376">
        <v>38800</v>
      </c>
      <c r="CB9" s="376">
        <v>38500</v>
      </c>
      <c r="CC9" s="376">
        <v>34300</v>
      </c>
      <c r="CD9" s="376">
        <v>37200</v>
      </c>
      <c r="CE9" s="376">
        <v>42600</v>
      </c>
      <c r="CF9" s="376">
        <v>46400</v>
      </c>
      <c r="CG9" s="376">
        <v>47800</v>
      </c>
      <c r="CH9" s="376">
        <v>47000</v>
      </c>
      <c r="CI9" s="376">
        <v>49100</v>
      </c>
      <c r="CJ9" s="376">
        <v>52210</v>
      </c>
      <c r="CK9" s="376">
        <v>56230</v>
      </c>
      <c r="CL9" s="376">
        <v>53120</v>
      </c>
      <c r="CM9" s="376">
        <f t="shared" si="0"/>
        <v>39151.45642857143</v>
      </c>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row>
    <row r="10" spans="1:178">
      <c r="A10" s="1053"/>
      <c r="B10" s="2" t="s">
        <v>305</v>
      </c>
      <c r="C10" s="362" t="s">
        <v>142</v>
      </c>
      <c r="D10" s="362"/>
      <c r="E10" s="235" t="s">
        <v>348</v>
      </c>
      <c r="F10" s="380" t="s">
        <v>135</v>
      </c>
      <c r="G10" s="376">
        <v>37759.000000000102</v>
      </c>
      <c r="H10" s="376">
        <v>36931.1292929294</v>
      </c>
      <c r="I10" s="376">
        <v>36103.258585858697</v>
      </c>
      <c r="J10" s="376">
        <v>35275.3878787879</v>
      </c>
      <c r="K10" s="376">
        <v>34447.517171717198</v>
      </c>
      <c r="L10" s="376">
        <v>33619.646464646503</v>
      </c>
      <c r="M10" s="376">
        <v>32791.775757575801</v>
      </c>
      <c r="N10" s="376">
        <v>31963.905050505098</v>
      </c>
      <c r="O10" s="376">
        <v>31136.034343434399</v>
      </c>
      <c r="P10" s="376">
        <v>30308.163636363701</v>
      </c>
      <c r="Q10" s="376">
        <v>29480.292929292998</v>
      </c>
      <c r="R10" s="376">
        <v>28652.422222222202</v>
      </c>
      <c r="S10" s="376">
        <v>31782.666666666701</v>
      </c>
      <c r="T10" s="376">
        <v>31356.666666666701</v>
      </c>
      <c r="U10" s="376">
        <v>22930</v>
      </c>
      <c r="V10" s="376">
        <v>22278</v>
      </c>
      <c r="W10" s="376">
        <v>20505</v>
      </c>
      <c r="X10" s="376">
        <v>21079</v>
      </c>
      <c r="Y10" s="376">
        <v>22653</v>
      </c>
      <c r="Z10" s="376">
        <v>22279</v>
      </c>
      <c r="AA10" s="376">
        <v>22327</v>
      </c>
      <c r="AB10" s="376">
        <v>23801</v>
      </c>
      <c r="AC10" s="376">
        <v>22740</v>
      </c>
      <c r="AD10" s="376">
        <v>22280</v>
      </c>
      <c r="AE10" s="376">
        <v>21799</v>
      </c>
      <c r="AF10" s="376">
        <v>21523</v>
      </c>
      <c r="AG10" s="376">
        <v>23055</v>
      </c>
      <c r="AH10" s="376">
        <v>22281</v>
      </c>
      <c r="AI10" s="376">
        <v>21450</v>
      </c>
      <c r="AJ10" s="376">
        <v>22640</v>
      </c>
      <c r="AK10" s="376">
        <v>25818.666666666701</v>
      </c>
      <c r="AL10" s="376">
        <v>22282</v>
      </c>
      <c r="AM10" s="376">
        <v>25392.666666666701</v>
      </c>
      <c r="AN10" s="376">
        <v>24966.666666666701</v>
      </c>
      <c r="AO10" s="376">
        <v>24540.666666666701</v>
      </c>
      <c r="AP10" s="376">
        <v>22283</v>
      </c>
      <c r="AQ10" s="376">
        <v>24114.666666666701</v>
      </c>
      <c r="AR10" s="376">
        <v>23688.666666666701</v>
      </c>
      <c r="AS10" s="376">
        <v>23262.666666666701</v>
      </c>
      <c r="AT10" s="376">
        <v>22284</v>
      </c>
      <c r="AU10" s="376">
        <v>23133</v>
      </c>
      <c r="AV10" s="376">
        <v>21818</v>
      </c>
      <c r="AW10" s="376">
        <v>22281</v>
      </c>
      <c r="AX10" s="376">
        <v>24177</v>
      </c>
      <c r="AY10" s="376">
        <v>28071</v>
      </c>
      <c r="AZ10" s="376">
        <v>28045</v>
      </c>
      <c r="BA10" s="376">
        <v>29524</v>
      </c>
      <c r="BB10" s="376">
        <v>28439</v>
      </c>
      <c r="BC10" s="376">
        <v>30668</v>
      </c>
      <c r="BD10" s="376">
        <v>33226</v>
      </c>
      <c r="BE10" s="376">
        <v>28437</v>
      </c>
      <c r="BF10" s="376">
        <v>23915</v>
      </c>
      <c r="BG10" s="376">
        <v>25268</v>
      </c>
      <c r="BH10" s="376">
        <v>28957</v>
      </c>
      <c r="BI10" s="376">
        <v>29150</v>
      </c>
      <c r="BJ10" s="376">
        <v>30044</v>
      </c>
      <c r="BK10" s="376">
        <v>28400</v>
      </c>
      <c r="BL10" s="376">
        <v>25400</v>
      </c>
      <c r="BM10" s="376">
        <v>26700</v>
      </c>
      <c r="BN10" s="376">
        <v>22400</v>
      </c>
      <c r="BO10" s="376">
        <v>24500</v>
      </c>
      <c r="BP10" s="376">
        <v>21200</v>
      </c>
      <c r="BQ10" s="376">
        <v>18600</v>
      </c>
      <c r="BR10" s="376">
        <v>21400</v>
      </c>
      <c r="BS10" s="376">
        <v>22400</v>
      </c>
      <c r="BT10" s="376">
        <v>23100</v>
      </c>
      <c r="BU10" s="376">
        <v>14400</v>
      </c>
      <c r="BV10" s="376">
        <v>10800</v>
      </c>
      <c r="BW10" s="376">
        <v>14100</v>
      </c>
      <c r="BX10" s="376">
        <v>18300</v>
      </c>
      <c r="BY10" s="376">
        <v>20100</v>
      </c>
      <c r="BZ10" s="376">
        <v>21300</v>
      </c>
      <c r="CA10" s="376">
        <v>20000</v>
      </c>
      <c r="CB10" s="376">
        <v>20600</v>
      </c>
      <c r="CC10" s="376">
        <v>21500</v>
      </c>
      <c r="CD10" s="376">
        <v>23400</v>
      </c>
      <c r="CE10" s="376">
        <v>24700</v>
      </c>
      <c r="CF10" s="376">
        <v>27200</v>
      </c>
      <c r="CG10" s="376">
        <v>28300</v>
      </c>
      <c r="CH10" s="376">
        <v>29000</v>
      </c>
      <c r="CI10" s="376">
        <v>29700</v>
      </c>
      <c r="CJ10" s="376">
        <v>31350</v>
      </c>
      <c r="CK10" s="376">
        <v>30470</v>
      </c>
      <c r="CL10" s="376">
        <v>31250</v>
      </c>
      <c r="CM10" s="376">
        <f t="shared" si="0"/>
        <v>25495.053968253982</v>
      </c>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row>
    <row r="11" spans="1:178">
      <c r="A11" s="1054"/>
      <c r="B11" s="224" t="s">
        <v>305</v>
      </c>
      <c r="C11" s="367" t="s">
        <v>142</v>
      </c>
      <c r="D11" s="367"/>
      <c r="E11" s="336" t="s">
        <v>348</v>
      </c>
      <c r="F11" s="386" t="s">
        <v>134</v>
      </c>
      <c r="G11" s="387">
        <v>32175.4666666667</v>
      </c>
      <c r="H11" s="387">
        <v>32270.216161616201</v>
      </c>
      <c r="I11" s="387">
        <v>32364.965656565699</v>
      </c>
      <c r="J11" s="387">
        <v>32459.7151515152</v>
      </c>
      <c r="K11" s="387">
        <v>32554.464646464701</v>
      </c>
      <c r="L11" s="387">
        <v>32649.214141414199</v>
      </c>
      <c r="M11" s="387">
        <v>32743.9636363637</v>
      </c>
      <c r="N11" s="387">
        <v>32838.713131313198</v>
      </c>
      <c r="O11" s="387">
        <v>32933.462626262699</v>
      </c>
      <c r="P11" s="387">
        <v>33028.212121212098</v>
      </c>
      <c r="Q11" s="387">
        <v>33122.9616161616</v>
      </c>
      <c r="R11" s="387">
        <v>33217.711111111101</v>
      </c>
      <c r="S11" s="387">
        <v>33015.666666666701</v>
      </c>
      <c r="T11" s="387">
        <v>33126.166666666701</v>
      </c>
      <c r="U11" s="387">
        <v>33236.666666666701</v>
      </c>
      <c r="V11" s="387">
        <v>35084</v>
      </c>
      <c r="W11" s="387">
        <v>33347.166666666701</v>
      </c>
      <c r="X11" s="387">
        <v>33457.666666666701</v>
      </c>
      <c r="Y11" s="387">
        <v>33568.166666666701</v>
      </c>
      <c r="Z11" s="387">
        <v>35085</v>
      </c>
      <c r="AA11" s="387">
        <v>33678.666666666701</v>
      </c>
      <c r="AB11" s="387">
        <v>33789.166666666701</v>
      </c>
      <c r="AC11" s="387">
        <v>33899.666666666701</v>
      </c>
      <c r="AD11" s="387">
        <v>35086</v>
      </c>
      <c r="AE11" s="387">
        <v>34010.166666666701</v>
      </c>
      <c r="AF11" s="387">
        <v>34120.666666666701</v>
      </c>
      <c r="AG11" s="387">
        <v>34231.166666666701</v>
      </c>
      <c r="AH11" s="387">
        <v>35087</v>
      </c>
      <c r="AI11" s="387">
        <v>34341.666666666701</v>
      </c>
      <c r="AJ11" s="387">
        <v>34452.166666666701</v>
      </c>
      <c r="AK11" s="387">
        <v>34562.666666666701</v>
      </c>
      <c r="AL11" s="387">
        <v>35088</v>
      </c>
      <c r="AM11" s="387">
        <v>34673.166666666701</v>
      </c>
      <c r="AN11" s="387">
        <v>34783.666666666701</v>
      </c>
      <c r="AO11" s="387">
        <v>34894.166666666701</v>
      </c>
      <c r="AP11" s="387">
        <v>35089</v>
      </c>
      <c r="AQ11" s="387">
        <v>35004.666666666701</v>
      </c>
      <c r="AR11" s="387">
        <v>35115.166666666701</v>
      </c>
      <c r="AS11" s="387">
        <v>35225.666666666701</v>
      </c>
      <c r="AT11" s="387">
        <v>35090</v>
      </c>
      <c r="AU11" s="387">
        <v>35648</v>
      </c>
      <c r="AV11" s="387">
        <v>34823</v>
      </c>
      <c r="AW11" s="387">
        <v>35869</v>
      </c>
      <c r="AX11" s="387">
        <v>38900</v>
      </c>
      <c r="AY11" s="387">
        <v>48637</v>
      </c>
      <c r="AZ11" s="387">
        <v>46484</v>
      </c>
      <c r="BA11" s="387">
        <v>48182</v>
      </c>
      <c r="BB11" s="387">
        <v>48880</v>
      </c>
      <c r="BC11" s="387">
        <v>53437</v>
      </c>
      <c r="BD11" s="387">
        <v>53976</v>
      </c>
      <c r="BE11" s="387">
        <v>40000</v>
      </c>
      <c r="BF11" s="387">
        <v>35076</v>
      </c>
      <c r="BG11" s="387">
        <v>35172</v>
      </c>
      <c r="BH11" s="387">
        <v>38937</v>
      </c>
      <c r="BI11" s="387">
        <v>40545</v>
      </c>
      <c r="BJ11" s="387">
        <v>43117</v>
      </c>
      <c r="BK11" s="387">
        <v>41200</v>
      </c>
      <c r="BL11" s="387">
        <v>35000</v>
      </c>
      <c r="BM11" s="387">
        <v>37500</v>
      </c>
      <c r="BN11" s="387">
        <v>35100</v>
      </c>
      <c r="BO11" s="387">
        <v>37300</v>
      </c>
      <c r="BP11" s="387">
        <v>37300</v>
      </c>
      <c r="BQ11" s="387">
        <v>39700</v>
      </c>
      <c r="BR11" s="387">
        <v>41700</v>
      </c>
      <c r="BS11" s="387">
        <v>40900</v>
      </c>
      <c r="BT11" s="387">
        <v>38000</v>
      </c>
      <c r="BU11" s="387">
        <v>25000</v>
      </c>
      <c r="BV11" s="387">
        <v>19100</v>
      </c>
      <c r="BW11" s="387">
        <v>25000</v>
      </c>
      <c r="BX11" s="387">
        <v>31800</v>
      </c>
      <c r="BY11" s="387">
        <v>33800</v>
      </c>
      <c r="BZ11" s="387">
        <v>35100</v>
      </c>
      <c r="CA11" s="387">
        <v>36000</v>
      </c>
      <c r="CB11" s="387">
        <v>35700</v>
      </c>
      <c r="CC11" s="387">
        <v>35700</v>
      </c>
      <c r="CD11" s="387">
        <v>39300</v>
      </c>
      <c r="CE11" s="387">
        <v>42500</v>
      </c>
      <c r="CF11" s="387">
        <v>46600</v>
      </c>
      <c r="CG11" s="387">
        <v>48300</v>
      </c>
      <c r="CH11" s="387">
        <v>44700</v>
      </c>
      <c r="CI11" s="387">
        <v>47100</v>
      </c>
      <c r="CJ11" s="387">
        <v>50610</v>
      </c>
      <c r="CK11" s="387">
        <v>50620</v>
      </c>
      <c r="CL11" s="387">
        <v>44350</v>
      </c>
      <c r="CM11" s="387">
        <f t="shared" si="0"/>
        <v>36990.060317460338</v>
      </c>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row>
    <row r="12" spans="1:178" ht="12.75" customHeight="1">
      <c r="A12" s="1055" t="s">
        <v>605</v>
      </c>
      <c r="B12" s="159" t="s">
        <v>309</v>
      </c>
      <c r="C12" s="393" t="s">
        <v>310</v>
      </c>
      <c r="D12" s="393"/>
      <c r="E12" s="1057" t="s">
        <v>311</v>
      </c>
      <c r="F12" s="394" t="s">
        <v>148</v>
      </c>
      <c r="G12" s="395">
        <f>Feed!$N$4*1000/12</f>
        <v>90000</v>
      </c>
      <c r="H12" s="395">
        <f>Feed!$N$4*1000/12</f>
        <v>90000</v>
      </c>
      <c r="I12" s="395">
        <f>Feed!$N$4*1000/12</f>
        <v>90000</v>
      </c>
      <c r="J12" s="395">
        <f>Feed!$N$4*1000/12</f>
        <v>90000</v>
      </c>
      <c r="K12" s="395">
        <f>Feed!$N$4*1000/12</f>
        <v>90000</v>
      </c>
      <c r="L12" s="395">
        <f>Feed!$N$4*1000/12</f>
        <v>90000</v>
      </c>
      <c r="M12" s="395">
        <f>Feed!$N$4*1000/12</f>
        <v>90000</v>
      </c>
      <c r="N12" s="395">
        <f>Feed!$N$4*1000/12</f>
        <v>90000</v>
      </c>
      <c r="O12" s="395">
        <f>Feed!$N$4*1000/12</f>
        <v>90000</v>
      </c>
      <c r="P12" s="395">
        <f>Feed!$N$4*1000/12</f>
        <v>90000</v>
      </c>
      <c r="Q12" s="395">
        <f>Feed!$N$4*1000/12</f>
        <v>90000</v>
      </c>
      <c r="R12" s="395">
        <f>Feed!$N$4*1000/12</f>
        <v>90000</v>
      </c>
      <c r="S12" s="395">
        <f>Feed!$N$4*1000/12</f>
        <v>90000</v>
      </c>
      <c r="T12" s="395">
        <f>Feed!$N$4*1000/12</f>
        <v>90000</v>
      </c>
      <c r="U12" s="395">
        <f>Feed!$N$4*1000/12</f>
        <v>90000</v>
      </c>
      <c r="V12" s="395">
        <f>Feed!$N$4*1000/12</f>
        <v>90000</v>
      </c>
      <c r="W12" s="395">
        <f>Feed!$N$4*1000/12</f>
        <v>90000</v>
      </c>
      <c r="X12" s="395">
        <f>Feed!$N$4*1000/12</f>
        <v>90000</v>
      </c>
      <c r="Y12" s="395">
        <f>Feed!$N$4*1000/12</f>
        <v>90000</v>
      </c>
      <c r="Z12" s="395">
        <f>Feed!$N$4*1000/12</f>
        <v>90000</v>
      </c>
      <c r="AA12" s="395">
        <f>Feed!$N$4*1000/12</f>
        <v>90000</v>
      </c>
      <c r="AB12" s="395">
        <f>Feed!$N$4*1000/12</f>
        <v>90000</v>
      </c>
      <c r="AC12" s="395">
        <f>Feed!$N$4*1000/12</f>
        <v>90000</v>
      </c>
      <c r="AD12" s="395">
        <f>Feed!$N$4*1000/12</f>
        <v>90000</v>
      </c>
      <c r="AE12" s="395">
        <f>Feed!$N$4*1000/12</f>
        <v>90000</v>
      </c>
      <c r="AF12" s="395">
        <f>Feed!$N$4*1000/12</f>
        <v>90000</v>
      </c>
      <c r="AG12" s="395">
        <f>Feed!$N$4*1000/12</f>
        <v>90000</v>
      </c>
      <c r="AH12" s="395">
        <f>Feed!$N$4*1000/12</f>
        <v>90000</v>
      </c>
      <c r="AI12" s="395">
        <f>Feed!$N$4*1000/12</f>
        <v>90000</v>
      </c>
      <c r="AJ12" s="395">
        <f>Feed!$N$4*1000/12</f>
        <v>90000</v>
      </c>
      <c r="AK12" s="395">
        <f>Feed!$N$4*1000/12</f>
        <v>90000</v>
      </c>
      <c r="AL12" s="395">
        <f>Feed!$N$4*1000/12</f>
        <v>90000</v>
      </c>
      <c r="AM12" s="395">
        <f>Feed!$N$4*1000/12</f>
        <v>90000</v>
      </c>
      <c r="AN12" s="395">
        <f>Feed!$N$4*1000/12</f>
        <v>90000</v>
      </c>
      <c r="AO12" s="395">
        <f>Feed!$N$4*1000/12</f>
        <v>90000</v>
      </c>
      <c r="AP12" s="395">
        <f>Feed!$N$4*1000/12</f>
        <v>90000</v>
      </c>
      <c r="AQ12" s="395">
        <f>Feed!$N$4*1000/12</f>
        <v>90000</v>
      </c>
      <c r="AR12" s="395">
        <f>Feed!$N$4*1000/12</f>
        <v>90000</v>
      </c>
      <c r="AS12" s="395">
        <f>Feed!$N$4*1000/12</f>
        <v>90000</v>
      </c>
      <c r="AT12" s="395">
        <f>Feed!$N$4*1000/12</f>
        <v>90000</v>
      </c>
      <c r="AU12" s="395">
        <f>Feed!$N$4*1000/12</f>
        <v>90000</v>
      </c>
      <c r="AV12" s="395">
        <f>Feed!$N$4*1000/12</f>
        <v>90000</v>
      </c>
      <c r="AW12" s="395">
        <f>Feed!$N$4*1000/12</f>
        <v>90000</v>
      </c>
      <c r="AX12" s="395">
        <f>Feed!$N$4*1000/12</f>
        <v>90000</v>
      </c>
      <c r="AY12" s="395">
        <f>Feed!$N$4*1000/12</f>
        <v>90000</v>
      </c>
      <c r="AZ12" s="395">
        <f>Feed!$N$4*1000/12</f>
        <v>90000</v>
      </c>
      <c r="BA12" s="395">
        <f>Feed!$N$4*1000/12</f>
        <v>90000</v>
      </c>
      <c r="BB12" s="395">
        <f>Feed!$N$4*1000/12</f>
        <v>90000</v>
      </c>
      <c r="BC12" s="395">
        <f>Feed!$N$4*1000/12</f>
        <v>90000</v>
      </c>
      <c r="BD12" s="395">
        <f>Feed!$N$4*1000/12</f>
        <v>90000</v>
      </c>
      <c r="BE12" s="395">
        <f>Feed!$N$4*1000/12</f>
        <v>90000</v>
      </c>
      <c r="BF12" s="395">
        <f>Feed!$N$4*1000/12</f>
        <v>90000</v>
      </c>
      <c r="BG12" s="395">
        <f>Feed!$N$4*1000/12</f>
        <v>90000</v>
      </c>
      <c r="BH12" s="395">
        <f>Feed!$N$4*1000/12</f>
        <v>90000</v>
      </c>
      <c r="BI12" s="395">
        <f>Feed!$N$4*1000/12</f>
        <v>90000</v>
      </c>
      <c r="BJ12" s="395">
        <f>Feed!$N$4*1000/12</f>
        <v>90000</v>
      </c>
      <c r="BK12" s="395">
        <f>Feed!$N$4*1000/12</f>
        <v>90000</v>
      </c>
      <c r="BL12" s="395">
        <f>Feed!$N$4*1000/12</f>
        <v>90000</v>
      </c>
      <c r="BM12" s="395">
        <f>Feed!$N$4*1000/12</f>
        <v>90000</v>
      </c>
      <c r="BN12" s="395">
        <f>Feed!$N$4*1000/12</f>
        <v>90000</v>
      </c>
      <c r="BO12" s="395">
        <f>Feed!$N$4*1000/12</f>
        <v>90000</v>
      </c>
      <c r="BP12" s="395">
        <f>Feed!$N$4*1000/12</f>
        <v>90000</v>
      </c>
      <c r="BQ12" s="395">
        <f>Feed!$N$4*1000/12</f>
        <v>90000</v>
      </c>
      <c r="BR12" s="395">
        <f>Feed!$N$4*1000/12</f>
        <v>90000</v>
      </c>
      <c r="BS12" s="395">
        <f>Feed!$N$4*1000/12</f>
        <v>90000</v>
      </c>
      <c r="BT12" s="395">
        <f>Feed!$N$4*1000/12</f>
        <v>90000</v>
      </c>
      <c r="BU12" s="395">
        <f>Feed!$N$4*1000/12</f>
        <v>90000</v>
      </c>
      <c r="BV12" s="395">
        <f>Feed!$N$4*1000/12</f>
        <v>90000</v>
      </c>
      <c r="BW12" s="395">
        <f>Feed!$N$4*1000/12</f>
        <v>90000</v>
      </c>
      <c r="BX12" s="395">
        <f>Feed!$N$4*1000/12</f>
        <v>90000</v>
      </c>
      <c r="BY12" s="395">
        <f>Feed!$N$4*1000/12</f>
        <v>90000</v>
      </c>
      <c r="BZ12" s="395">
        <f>Feed!$N$4*1000/12</f>
        <v>90000</v>
      </c>
      <c r="CA12" s="395">
        <f>Feed!$N$4*1000/12</f>
        <v>90000</v>
      </c>
      <c r="CB12" s="395">
        <f>Feed!$N$4*1000/12</f>
        <v>90000</v>
      </c>
      <c r="CC12" s="395">
        <f>Feed!$N$4*1000/12</f>
        <v>90000</v>
      </c>
      <c r="CD12" s="395">
        <f>Feed!$N$4*1000/12</f>
        <v>90000</v>
      </c>
      <c r="CE12" s="395">
        <f>Feed!$N$4*1000/12</f>
        <v>90000</v>
      </c>
      <c r="CF12" s="395">
        <f>Feed!$N$4*1000/12</f>
        <v>90000</v>
      </c>
      <c r="CG12" s="395">
        <f>Feed!$N$4*1000/12</f>
        <v>90000</v>
      </c>
      <c r="CH12" s="395">
        <f>Feed!$N$4*1000/12</f>
        <v>90000</v>
      </c>
      <c r="CI12" s="395">
        <f>Feed!$N$4*1000/12</f>
        <v>90000</v>
      </c>
      <c r="CJ12" s="395">
        <f>Feed!$N$4*1000/12</f>
        <v>90000</v>
      </c>
      <c r="CK12" s="395">
        <f>Feed!$N$4*1000/12</f>
        <v>90000</v>
      </c>
      <c r="CL12" s="395">
        <f>Feed!$N$4*1000/12</f>
        <v>90000</v>
      </c>
      <c r="CM12" s="397">
        <f t="shared" si="0"/>
        <v>90000</v>
      </c>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row>
    <row r="13" spans="1:178">
      <c r="A13" s="1056"/>
      <c r="B13" s="398" t="s">
        <v>309</v>
      </c>
      <c r="C13" s="399" t="s">
        <v>310</v>
      </c>
      <c r="D13" s="399"/>
      <c r="E13" s="1058"/>
      <c r="F13" s="400" t="s">
        <v>0</v>
      </c>
      <c r="G13" s="395">
        <f>Feed!$N$6*1000/12</f>
        <v>20416.666666666668</v>
      </c>
      <c r="H13" s="395">
        <f>Feed!$N$6*1000/12</f>
        <v>20416.666666666668</v>
      </c>
      <c r="I13" s="395">
        <f>Feed!$N$6*1000/12</f>
        <v>20416.666666666668</v>
      </c>
      <c r="J13" s="395">
        <f>Feed!$N$6*1000/12</f>
        <v>20416.666666666668</v>
      </c>
      <c r="K13" s="395">
        <f>Feed!$N$6*1000/12</f>
        <v>20416.666666666668</v>
      </c>
      <c r="L13" s="395">
        <f>Feed!$N$6*1000/12</f>
        <v>20416.666666666668</v>
      </c>
      <c r="M13" s="395">
        <f>Feed!$N$6*1000/12</f>
        <v>20416.666666666668</v>
      </c>
      <c r="N13" s="395">
        <f>Feed!$N$6*1000/12</f>
        <v>20416.666666666668</v>
      </c>
      <c r="O13" s="395">
        <f>Feed!$N$6*1000/12</f>
        <v>20416.666666666668</v>
      </c>
      <c r="P13" s="395">
        <f>Feed!$N$6*1000/12</f>
        <v>20416.666666666668</v>
      </c>
      <c r="Q13" s="395">
        <f>Feed!$N$6*1000/12</f>
        <v>20416.666666666668</v>
      </c>
      <c r="R13" s="395">
        <f>Feed!$N$6*1000/12</f>
        <v>20416.666666666668</v>
      </c>
      <c r="S13" s="395">
        <f>Feed!$N$6*1000/12</f>
        <v>20416.666666666668</v>
      </c>
      <c r="T13" s="395">
        <f>Feed!$N$6*1000/12</f>
        <v>20416.666666666668</v>
      </c>
      <c r="U13" s="395">
        <f>Feed!$N$6*1000/12</f>
        <v>20416.666666666668</v>
      </c>
      <c r="V13" s="395">
        <f>Feed!$N$6*1000/12</f>
        <v>20416.666666666668</v>
      </c>
      <c r="W13" s="395">
        <f>Feed!$N$6*1000/12</f>
        <v>20416.666666666668</v>
      </c>
      <c r="X13" s="395">
        <f>Feed!$N$6*1000/12</f>
        <v>20416.666666666668</v>
      </c>
      <c r="Y13" s="395">
        <f>Feed!$N$6*1000/12</f>
        <v>20416.666666666668</v>
      </c>
      <c r="Z13" s="395">
        <f>Feed!$N$6*1000/12</f>
        <v>20416.666666666668</v>
      </c>
      <c r="AA13" s="395">
        <f>Feed!$N$6*1000/12</f>
        <v>20416.666666666668</v>
      </c>
      <c r="AB13" s="395">
        <f>Feed!$N$6*1000/12</f>
        <v>20416.666666666668</v>
      </c>
      <c r="AC13" s="395">
        <f>Feed!$N$6*1000/12</f>
        <v>20416.666666666668</v>
      </c>
      <c r="AD13" s="395">
        <f>Feed!$N$6*1000/12</f>
        <v>20416.666666666668</v>
      </c>
      <c r="AE13" s="395">
        <f>Feed!$N$6*1000/12</f>
        <v>20416.666666666668</v>
      </c>
      <c r="AF13" s="395">
        <f>Feed!$N$6*1000/12</f>
        <v>20416.666666666668</v>
      </c>
      <c r="AG13" s="395">
        <f>Feed!$N$6*1000/12</f>
        <v>20416.666666666668</v>
      </c>
      <c r="AH13" s="395">
        <f>Feed!$N$6*1000/12</f>
        <v>20416.666666666668</v>
      </c>
      <c r="AI13" s="395">
        <f>Feed!$N$6*1000/12</f>
        <v>20416.666666666668</v>
      </c>
      <c r="AJ13" s="395">
        <f>Feed!$N$6*1000/12</f>
        <v>20416.666666666668</v>
      </c>
      <c r="AK13" s="395">
        <f>Feed!$N$6*1000/12</f>
        <v>20416.666666666668</v>
      </c>
      <c r="AL13" s="395">
        <f>Feed!$N$6*1000/12</f>
        <v>20416.666666666668</v>
      </c>
      <c r="AM13" s="395">
        <f>Feed!$N$6*1000/12</f>
        <v>20416.666666666668</v>
      </c>
      <c r="AN13" s="395">
        <f>Feed!$N$6*1000/12</f>
        <v>20416.666666666668</v>
      </c>
      <c r="AO13" s="395">
        <f>Feed!$N$6*1000/12</f>
        <v>20416.666666666668</v>
      </c>
      <c r="AP13" s="395">
        <f>Feed!$N$6*1000/12</f>
        <v>20416.666666666668</v>
      </c>
      <c r="AQ13" s="395">
        <f>Feed!$N$6*1000/12</f>
        <v>20416.666666666668</v>
      </c>
      <c r="AR13" s="395">
        <f>Feed!$N$6*1000/12</f>
        <v>20416.666666666668</v>
      </c>
      <c r="AS13" s="395">
        <f>Feed!$N$6*1000/12</f>
        <v>20416.666666666668</v>
      </c>
      <c r="AT13" s="395">
        <f>Feed!$N$6*1000/12</f>
        <v>20416.666666666668</v>
      </c>
      <c r="AU13" s="395">
        <f>Feed!$N$6*1000/12</f>
        <v>20416.666666666668</v>
      </c>
      <c r="AV13" s="395">
        <f>Feed!$N$6*1000/12</f>
        <v>20416.666666666668</v>
      </c>
      <c r="AW13" s="395">
        <f>Feed!$N$6*1000/12</f>
        <v>20416.666666666668</v>
      </c>
      <c r="AX13" s="395">
        <f>Feed!$N$6*1000/12</f>
        <v>20416.666666666668</v>
      </c>
      <c r="AY13" s="395">
        <f>Feed!$N$6*1000/12</f>
        <v>20416.666666666668</v>
      </c>
      <c r="AZ13" s="395">
        <f>Feed!$N$6*1000/12</f>
        <v>20416.666666666668</v>
      </c>
      <c r="BA13" s="395">
        <f>Feed!$N$6*1000/12</f>
        <v>20416.666666666668</v>
      </c>
      <c r="BB13" s="395">
        <f>Feed!$N$6*1000/12</f>
        <v>20416.666666666668</v>
      </c>
      <c r="BC13" s="395">
        <f>Feed!$N$6*1000/12</f>
        <v>20416.666666666668</v>
      </c>
      <c r="BD13" s="395">
        <f>Feed!$N$6*1000/12</f>
        <v>20416.666666666668</v>
      </c>
      <c r="BE13" s="395">
        <f>Feed!$N$6*1000/12</f>
        <v>20416.666666666668</v>
      </c>
      <c r="BF13" s="395">
        <f>Feed!$N$6*1000/12</f>
        <v>20416.666666666668</v>
      </c>
      <c r="BG13" s="395">
        <f>Feed!$N$6*1000/12</f>
        <v>20416.666666666668</v>
      </c>
      <c r="BH13" s="395">
        <f>Feed!$N$6*1000/12</f>
        <v>20416.666666666668</v>
      </c>
      <c r="BI13" s="395">
        <f>Feed!$N$6*1000/12</f>
        <v>20416.666666666668</v>
      </c>
      <c r="BJ13" s="395">
        <f>Feed!$N$6*1000/12</f>
        <v>20416.666666666668</v>
      </c>
      <c r="BK13" s="395">
        <f>Feed!$N$6*1000/12</f>
        <v>20416.666666666668</v>
      </c>
      <c r="BL13" s="395">
        <f>Feed!$N$6*1000/12</f>
        <v>20416.666666666668</v>
      </c>
      <c r="BM13" s="395">
        <f>Feed!$N$6*1000/12</f>
        <v>20416.666666666668</v>
      </c>
      <c r="BN13" s="395">
        <f>Feed!$N$6*1000/12</f>
        <v>20416.666666666668</v>
      </c>
      <c r="BO13" s="395">
        <f>Feed!$N$6*1000/12</f>
        <v>20416.666666666668</v>
      </c>
      <c r="BP13" s="395">
        <f>Feed!$N$6*1000/12</f>
        <v>20416.666666666668</v>
      </c>
      <c r="BQ13" s="395">
        <f>Feed!$N$6*1000/12</f>
        <v>20416.666666666668</v>
      </c>
      <c r="BR13" s="395">
        <f>Feed!$N$6*1000/12</f>
        <v>20416.666666666668</v>
      </c>
      <c r="BS13" s="395">
        <f>Feed!$N$6*1000/12</f>
        <v>20416.666666666668</v>
      </c>
      <c r="BT13" s="395">
        <f>Feed!$N$6*1000/12</f>
        <v>20416.666666666668</v>
      </c>
      <c r="BU13" s="395">
        <f>Feed!$N$6*1000/12</f>
        <v>20416.666666666668</v>
      </c>
      <c r="BV13" s="395">
        <f>Feed!$N$6*1000/12</f>
        <v>20416.666666666668</v>
      </c>
      <c r="BW13" s="395">
        <f>Feed!$N$6*1000/12</f>
        <v>20416.666666666668</v>
      </c>
      <c r="BX13" s="395">
        <f>Feed!$N$6*1000/12</f>
        <v>20416.666666666668</v>
      </c>
      <c r="BY13" s="395">
        <f>Feed!$N$6*1000/12</f>
        <v>20416.666666666668</v>
      </c>
      <c r="BZ13" s="395">
        <f>Feed!$N$6*1000/12</f>
        <v>20416.666666666668</v>
      </c>
      <c r="CA13" s="395">
        <f>Feed!$N$6*1000/12</f>
        <v>20416.666666666668</v>
      </c>
      <c r="CB13" s="395">
        <f>Feed!$N$6*1000/12</f>
        <v>20416.666666666668</v>
      </c>
      <c r="CC13" s="395">
        <f>Feed!$N$6*1000/12</f>
        <v>20416.666666666668</v>
      </c>
      <c r="CD13" s="395">
        <f>Feed!$N$6*1000/12</f>
        <v>20416.666666666668</v>
      </c>
      <c r="CE13" s="395">
        <f>Feed!$N$6*1000/12</f>
        <v>20416.666666666668</v>
      </c>
      <c r="CF13" s="395">
        <f>Feed!$N$6*1000/12</f>
        <v>20416.666666666668</v>
      </c>
      <c r="CG13" s="395">
        <f>Feed!$N$6*1000/12</f>
        <v>20416.666666666668</v>
      </c>
      <c r="CH13" s="395">
        <f>Feed!$N$6*1000/12</f>
        <v>20416.666666666668</v>
      </c>
      <c r="CI13" s="395">
        <f>Feed!$N$6*1000/12</f>
        <v>20416.666666666668</v>
      </c>
      <c r="CJ13" s="395">
        <f>Feed!$N$6*1000/12</f>
        <v>20416.666666666668</v>
      </c>
      <c r="CK13" s="395">
        <f>Feed!$N$6*1000/12</f>
        <v>20416.666666666668</v>
      </c>
      <c r="CL13" s="395">
        <f>Feed!$N$6*1000/12</f>
        <v>20416.666666666668</v>
      </c>
      <c r="CM13" s="397">
        <f t="shared" si="0"/>
        <v>20416.666666666686</v>
      </c>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row>
    <row r="14" spans="1:178">
      <c r="A14" s="1056"/>
      <c r="B14" s="398" t="s">
        <v>309</v>
      </c>
      <c r="C14" s="399" t="s">
        <v>310</v>
      </c>
      <c r="D14" s="399"/>
      <c r="E14" s="1058"/>
      <c r="F14" s="400" t="s">
        <v>304</v>
      </c>
      <c r="G14" s="395">
        <f>Feed!$N$7*1000/12</f>
        <v>11333.333333333334</v>
      </c>
      <c r="H14" s="395">
        <f>Feed!$N$7*1000/12</f>
        <v>11333.333333333334</v>
      </c>
      <c r="I14" s="395">
        <f>Feed!$N$7*1000/12</f>
        <v>11333.333333333334</v>
      </c>
      <c r="J14" s="395">
        <f>Feed!$N$7*1000/12</f>
        <v>11333.333333333334</v>
      </c>
      <c r="K14" s="395">
        <f>Feed!$N$7*1000/12</f>
        <v>11333.333333333334</v>
      </c>
      <c r="L14" s="395">
        <f>Feed!$N$7*1000/12</f>
        <v>11333.333333333334</v>
      </c>
      <c r="M14" s="395">
        <f>Feed!$N$7*1000/12</f>
        <v>11333.333333333334</v>
      </c>
      <c r="N14" s="395">
        <f>Feed!$N$7*1000/12</f>
        <v>11333.333333333334</v>
      </c>
      <c r="O14" s="395">
        <f>Feed!$N$7*1000/12</f>
        <v>11333.333333333334</v>
      </c>
      <c r="P14" s="395">
        <f>Feed!$N$7*1000/12</f>
        <v>11333.333333333334</v>
      </c>
      <c r="Q14" s="395">
        <f>Feed!$N$7*1000/12</f>
        <v>11333.333333333334</v>
      </c>
      <c r="R14" s="395">
        <f>Feed!$N$7*1000/12</f>
        <v>11333.333333333334</v>
      </c>
      <c r="S14" s="395">
        <f>Feed!$N$7*1000/12</f>
        <v>11333.333333333334</v>
      </c>
      <c r="T14" s="395">
        <f>Feed!$N$7*1000/12</f>
        <v>11333.333333333334</v>
      </c>
      <c r="U14" s="395">
        <f>Feed!$N$7*1000/12</f>
        <v>11333.333333333334</v>
      </c>
      <c r="V14" s="395">
        <f>Feed!$N$7*1000/12</f>
        <v>11333.333333333334</v>
      </c>
      <c r="W14" s="395">
        <f>Feed!$N$7*1000/12</f>
        <v>11333.333333333334</v>
      </c>
      <c r="X14" s="395">
        <f>Feed!$N$7*1000/12</f>
        <v>11333.333333333334</v>
      </c>
      <c r="Y14" s="395">
        <f>Feed!$N$7*1000/12</f>
        <v>11333.333333333334</v>
      </c>
      <c r="Z14" s="395">
        <f>Feed!$N$7*1000/12</f>
        <v>11333.333333333334</v>
      </c>
      <c r="AA14" s="395">
        <f>Feed!$N$7*1000/12</f>
        <v>11333.333333333334</v>
      </c>
      <c r="AB14" s="395">
        <f>Feed!$N$7*1000/12</f>
        <v>11333.333333333334</v>
      </c>
      <c r="AC14" s="395">
        <f>Feed!$N$7*1000/12</f>
        <v>11333.333333333334</v>
      </c>
      <c r="AD14" s="395">
        <f>Feed!$N$7*1000/12</f>
        <v>11333.333333333334</v>
      </c>
      <c r="AE14" s="395">
        <f>Feed!$N$7*1000/12</f>
        <v>11333.333333333334</v>
      </c>
      <c r="AF14" s="395">
        <f>Feed!$N$7*1000/12</f>
        <v>11333.333333333334</v>
      </c>
      <c r="AG14" s="395">
        <f>Feed!$N$7*1000/12</f>
        <v>11333.333333333334</v>
      </c>
      <c r="AH14" s="395">
        <f>Feed!$N$7*1000/12</f>
        <v>11333.333333333334</v>
      </c>
      <c r="AI14" s="395">
        <f>Feed!$N$7*1000/12</f>
        <v>11333.333333333334</v>
      </c>
      <c r="AJ14" s="395">
        <f>Feed!$N$7*1000/12</f>
        <v>11333.333333333334</v>
      </c>
      <c r="AK14" s="395">
        <f>Feed!$N$7*1000/12</f>
        <v>11333.333333333334</v>
      </c>
      <c r="AL14" s="395">
        <f>Feed!$N$7*1000/12</f>
        <v>11333.333333333334</v>
      </c>
      <c r="AM14" s="395">
        <f>Feed!$N$7*1000/12</f>
        <v>11333.333333333334</v>
      </c>
      <c r="AN14" s="395">
        <f>Feed!$N$7*1000/12</f>
        <v>11333.333333333334</v>
      </c>
      <c r="AO14" s="395">
        <f>Feed!$N$7*1000/12</f>
        <v>11333.333333333334</v>
      </c>
      <c r="AP14" s="395">
        <f>Feed!$N$7*1000/12</f>
        <v>11333.333333333334</v>
      </c>
      <c r="AQ14" s="395">
        <f>Feed!$N$7*1000/12</f>
        <v>11333.333333333334</v>
      </c>
      <c r="AR14" s="395">
        <f>Feed!$N$7*1000/12</f>
        <v>11333.333333333334</v>
      </c>
      <c r="AS14" s="395">
        <f>Feed!$N$7*1000/12</f>
        <v>11333.333333333334</v>
      </c>
      <c r="AT14" s="395">
        <f>Feed!$N$7*1000/12</f>
        <v>11333.333333333334</v>
      </c>
      <c r="AU14" s="395">
        <f>Feed!$N$7*1000/12</f>
        <v>11333.333333333334</v>
      </c>
      <c r="AV14" s="395">
        <f>Feed!$N$7*1000/12</f>
        <v>11333.333333333334</v>
      </c>
      <c r="AW14" s="395">
        <f>Feed!$N$7*1000/12</f>
        <v>11333.333333333334</v>
      </c>
      <c r="AX14" s="395">
        <f>Feed!$N$7*1000/12</f>
        <v>11333.333333333334</v>
      </c>
      <c r="AY14" s="395">
        <f>Feed!$N$7*1000/12</f>
        <v>11333.333333333334</v>
      </c>
      <c r="AZ14" s="395">
        <f>Feed!$N$7*1000/12</f>
        <v>11333.333333333334</v>
      </c>
      <c r="BA14" s="395">
        <f>Feed!$N$7*1000/12</f>
        <v>11333.333333333334</v>
      </c>
      <c r="BB14" s="395">
        <f>Feed!$N$7*1000/12</f>
        <v>11333.333333333334</v>
      </c>
      <c r="BC14" s="395">
        <f>Feed!$N$7*1000/12</f>
        <v>11333.333333333334</v>
      </c>
      <c r="BD14" s="395">
        <f>Feed!$N$7*1000/12</f>
        <v>11333.333333333334</v>
      </c>
      <c r="BE14" s="395">
        <f>Feed!$N$7*1000/12</f>
        <v>11333.333333333334</v>
      </c>
      <c r="BF14" s="395">
        <f>Feed!$N$7*1000/12</f>
        <v>11333.333333333334</v>
      </c>
      <c r="BG14" s="395">
        <f>Feed!$N$7*1000/12</f>
        <v>11333.333333333334</v>
      </c>
      <c r="BH14" s="395">
        <f>Feed!$N$7*1000/12</f>
        <v>11333.333333333334</v>
      </c>
      <c r="BI14" s="395">
        <f>Feed!$N$7*1000/12</f>
        <v>11333.333333333334</v>
      </c>
      <c r="BJ14" s="395">
        <f>Feed!$N$7*1000/12</f>
        <v>11333.333333333334</v>
      </c>
      <c r="BK14" s="395">
        <f>Feed!$N$7*1000/12</f>
        <v>11333.333333333334</v>
      </c>
      <c r="BL14" s="395">
        <f>Feed!$N$7*1000/12</f>
        <v>11333.333333333334</v>
      </c>
      <c r="BM14" s="395">
        <f>Feed!$N$7*1000/12</f>
        <v>11333.333333333334</v>
      </c>
      <c r="BN14" s="395">
        <f>Feed!$N$7*1000/12</f>
        <v>11333.333333333334</v>
      </c>
      <c r="BO14" s="395">
        <f>Feed!$N$7*1000/12</f>
        <v>11333.333333333334</v>
      </c>
      <c r="BP14" s="395">
        <f>Feed!$N$7*1000/12</f>
        <v>11333.333333333334</v>
      </c>
      <c r="BQ14" s="395">
        <f>Feed!$N$7*1000/12</f>
        <v>11333.333333333334</v>
      </c>
      <c r="BR14" s="395">
        <f>Feed!$N$7*1000/12</f>
        <v>11333.333333333334</v>
      </c>
      <c r="BS14" s="395">
        <f>Feed!$N$7*1000/12</f>
        <v>11333.333333333334</v>
      </c>
      <c r="BT14" s="395">
        <f>Feed!$N$7*1000/12</f>
        <v>11333.333333333334</v>
      </c>
      <c r="BU14" s="395">
        <f>Feed!$N$7*1000/12</f>
        <v>11333.333333333334</v>
      </c>
      <c r="BV14" s="395">
        <f>Feed!$N$7*1000/12</f>
        <v>11333.333333333334</v>
      </c>
      <c r="BW14" s="395">
        <f>Feed!$N$7*1000/12</f>
        <v>11333.333333333334</v>
      </c>
      <c r="BX14" s="395">
        <f>Feed!$N$7*1000/12</f>
        <v>11333.333333333334</v>
      </c>
      <c r="BY14" s="395">
        <f>Feed!$N$7*1000/12</f>
        <v>11333.333333333334</v>
      </c>
      <c r="BZ14" s="395">
        <f>Feed!$N$7*1000/12</f>
        <v>11333.333333333334</v>
      </c>
      <c r="CA14" s="395">
        <f>Feed!$N$7*1000/12</f>
        <v>11333.333333333334</v>
      </c>
      <c r="CB14" s="395">
        <f>Feed!$N$7*1000/12</f>
        <v>11333.333333333334</v>
      </c>
      <c r="CC14" s="395">
        <f>Feed!$N$7*1000/12</f>
        <v>11333.333333333334</v>
      </c>
      <c r="CD14" s="395">
        <f>Feed!$N$7*1000/12</f>
        <v>11333.333333333334</v>
      </c>
      <c r="CE14" s="395">
        <f>Feed!$N$7*1000/12</f>
        <v>11333.333333333334</v>
      </c>
      <c r="CF14" s="395">
        <f>Feed!$N$7*1000/12</f>
        <v>11333.333333333334</v>
      </c>
      <c r="CG14" s="395">
        <f>Feed!$N$7*1000/12</f>
        <v>11333.333333333334</v>
      </c>
      <c r="CH14" s="395">
        <f>Feed!$N$7*1000/12</f>
        <v>11333.333333333334</v>
      </c>
      <c r="CI14" s="395">
        <f>Feed!$N$7*1000/12</f>
        <v>11333.333333333334</v>
      </c>
      <c r="CJ14" s="395">
        <f>Feed!$N$7*1000/12</f>
        <v>11333.333333333334</v>
      </c>
      <c r="CK14" s="395">
        <f>Feed!$N$7*1000/12</f>
        <v>11333.333333333334</v>
      </c>
      <c r="CL14" s="395">
        <f>Feed!$N$7*1000/12</f>
        <v>11333.333333333334</v>
      </c>
      <c r="CM14" s="397">
        <f t="shared" si="0"/>
        <v>11333.333333333347</v>
      </c>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row>
    <row r="15" spans="1:178">
      <c r="A15" s="1056"/>
      <c r="B15" s="398" t="s">
        <v>309</v>
      </c>
      <c r="C15" s="399" t="s">
        <v>310</v>
      </c>
      <c r="D15" s="399"/>
      <c r="E15" s="1058"/>
      <c r="F15" s="400" t="s">
        <v>1</v>
      </c>
      <c r="G15" s="395">
        <f>Feed!$N$5*1000/12</f>
        <v>89250</v>
      </c>
      <c r="H15" s="395">
        <f>Feed!$N$5*1000/12</f>
        <v>89250</v>
      </c>
      <c r="I15" s="395">
        <f>Feed!$N$5*1000/12</f>
        <v>89250</v>
      </c>
      <c r="J15" s="395">
        <f>Feed!$N$5*1000/12</f>
        <v>89250</v>
      </c>
      <c r="K15" s="395">
        <f>Feed!$N$5*1000/12</f>
        <v>89250</v>
      </c>
      <c r="L15" s="395">
        <f>Feed!$N$5*1000/12</f>
        <v>89250</v>
      </c>
      <c r="M15" s="395">
        <f>Feed!$N$5*1000/12</f>
        <v>89250</v>
      </c>
      <c r="N15" s="395">
        <f>Feed!$N$5*1000/12</f>
        <v>89250</v>
      </c>
      <c r="O15" s="395">
        <f>Feed!$N$5*1000/12</f>
        <v>89250</v>
      </c>
      <c r="P15" s="395">
        <f>Feed!$N$5*1000/12</f>
        <v>89250</v>
      </c>
      <c r="Q15" s="395">
        <f>Feed!$N$5*1000/12</f>
        <v>89250</v>
      </c>
      <c r="R15" s="395">
        <f>Feed!$N$5*1000/12</f>
        <v>89250</v>
      </c>
      <c r="S15" s="395">
        <f>Feed!$N$5*1000/12</f>
        <v>89250</v>
      </c>
      <c r="T15" s="395">
        <f>Feed!$N$5*1000/12</f>
        <v>89250</v>
      </c>
      <c r="U15" s="395">
        <f>Feed!$N$5*1000/12</f>
        <v>89250</v>
      </c>
      <c r="V15" s="395">
        <f>Feed!$N$5*1000/12</f>
        <v>89250</v>
      </c>
      <c r="W15" s="395">
        <f>Feed!$N$5*1000/12</f>
        <v>89250</v>
      </c>
      <c r="X15" s="395">
        <f>Feed!$N$5*1000/12</f>
        <v>89250</v>
      </c>
      <c r="Y15" s="395">
        <f>Feed!$N$5*1000/12</f>
        <v>89250</v>
      </c>
      <c r="Z15" s="395">
        <f>Feed!$N$5*1000/12</f>
        <v>89250</v>
      </c>
      <c r="AA15" s="395">
        <f>Feed!$N$5*1000/12</f>
        <v>89250</v>
      </c>
      <c r="AB15" s="395">
        <f>Feed!$N$5*1000/12</f>
        <v>89250</v>
      </c>
      <c r="AC15" s="395">
        <f>Feed!$N$5*1000/12</f>
        <v>89250</v>
      </c>
      <c r="AD15" s="395">
        <f>Feed!$N$5*1000/12</f>
        <v>89250</v>
      </c>
      <c r="AE15" s="395">
        <f>Feed!$N$5*1000/12</f>
        <v>89250</v>
      </c>
      <c r="AF15" s="395">
        <f>Feed!$N$5*1000/12</f>
        <v>89250</v>
      </c>
      <c r="AG15" s="395">
        <f>Feed!$N$5*1000/12</f>
        <v>89250</v>
      </c>
      <c r="AH15" s="395">
        <f>Feed!$N$5*1000/12</f>
        <v>89250</v>
      </c>
      <c r="AI15" s="395">
        <f>Feed!$N$5*1000/12</f>
        <v>89250</v>
      </c>
      <c r="AJ15" s="395">
        <f>Feed!$N$5*1000/12</f>
        <v>89250</v>
      </c>
      <c r="AK15" s="395">
        <f>Feed!$N$5*1000/12</f>
        <v>89250</v>
      </c>
      <c r="AL15" s="395">
        <f>Feed!$N$5*1000/12</f>
        <v>89250</v>
      </c>
      <c r="AM15" s="395">
        <f>Feed!$N$5*1000/12</f>
        <v>89250</v>
      </c>
      <c r="AN15" s="395">
        <f>Feed!$N$5*1000/12</f>
        <v>89250</v>
      </c>
      <c r="AO15" s="395">
        <f>Feed!$N$5*1000/12</f>
        <v>89250</v>
      </c>
      <c r="AP15" s="395">
        <f>Feed!$N$5*1000/12</f>
        <v>89250</v>
      </c>
      <c r="AQ15" s="395">
        <f>Feed!$N$5*1000/12</f>
        <v>89250</v>
      </c>
      <c r="AR15" s="395">
        <f>Feed!$N$5*1000/12</f>
        <v>89250</v>
      </c>
      <c r="AS15" s="395">
        <f>Feed!$N$5*1000/12</f>
        <v>89250</v>
      </c>
      <c r="AT15" s="395">
        <f>Feed!$N$5*1000/12</f>
        <v>89250</v>
      </c>
      <c r="AU15" s="395">
        <f>Feed!$N$5*1000/12</f>
        <v>89250</v>
      </c>
      <c r="AV15" s="395">
        <f>Feed!$N$5*1000/12</f>
        <v>89250</v>
      </c>
      <c r="AW15" s="395">
        <f>Feed!$N$5*1000/12</f>
        <v>89250</v>
      </c>
      <c r="AX15" s="395">
        <f>Feed!$N$5*1000/12</f>
        <v>89250</v>
      </c>
      <c r="AY15" s="395">
        <f>Feed!$N$5*1000/12</f>
        <v>89250</v>
      </c>
      <c r="AZ15" s="395">
        <f>Feed!$N$5*1000/12</f>
        <v>89250</v>
      </c>
      <c r="BA15" s="395">
        <f>Feed!$N$5*1000/12</f>
        <v>89250</v>
      </c>
      <c r="BB15" s="395">
        <f>Feed!$N$5*1000/12</f>
        <v>89250</v>
      </c>
      <c r="BC15" s="395">
        <f>Feed!$N$5*1000/12</f>
        <v>89250</v>
      </c>
      <c r="BD15" s="395">
        <f>Feed!$N$5*1000/12</f>
        <v>89250</v>
      </c>
      <c r="BE15" s="395">
        <f>Feed!$N$5*1000/12</f>
        <v>89250</v>
      </c>
      <c r="BF15" s="395">
        <f>Feed!$N$5*1000/12</f>
        <v>89250</v>
      </c>
      <c r="BG15" s="395">
        <f>Feed!$N$5*1000/12</f>
        <v>89250</v>
      </c>
      <c r="BH15" s="395">
        <f>Feed!$N$5*1000/12</f>
        <v>89250</v>
      </c>
      <c r="BI15" s="395">
        <f>Feed!$N$5*1000/12</f>
        <v>89250</v>
      </c>
      <c r="BJ15" s="395">
        <f>Feed!$N$5*1000/12</f>
        <v>89250</v>
      </c>
      <c r="BK15" s="395">
        <f>Feed!$N$5*1000/12</f>
        <v>89250</v>
      </c>
      <c r="BL15" s="395">
        <f>Feed!$N$5*1000/12</f>
        <v>89250</v>
      </c>
      <c r="BM15" s="395">
        <f>Feed!$N$5*1000/12</f>
        <v>89250</v>
      </c>
      <c r="BN15" s="395">
        <f>Feed!$N$5*1000/12</f>
        <v>89250</v>
      </c>
      <c r="BO15" s="395">
        <f>Feed!$N$5*1000/12</f>
        <v>89250</v>
      </c>
      <c r="BP15" s="395">
        <f>Feed!$N$5*1000/12</f>
        <v>89250</v>
      </c>
      <c r="BQ15" s="395">
        <f>Feed!$N$5*1000/12</f>
        <v>89250</v>
      </c>
      <c r="BR15" s="395">
        <f>Feed!$N$5*1000/12</f>
        <v>89250</v>
      </c>
      <c r="BS15" s="395">
        <f>Feed!$N$5*1000/12</f>
        <v>89250</v>
      </c>
      <c r="BT15" s="395">
        <f>Feed!$N$5*1000/12</f>
        <v>89250</v>
      </c>
      <c r="BU15" s="395">
        <f>Feed!$N$5*1000/12</f>
        <v>89250</v>
      </c>
      <c r="BV15" s="395">
        <f>Feed!$N$5*1000/12</f>
        <v>89250</v>
      </c>
      <c r="BW15" s="395">
        <f>Feed!$N$5*1000/12</f>
        <v>89250</v>
      </c>
      <c r="BX15" s="395">
        <f>Feed!$N$5*1000/12</f>
        <v>89250</v>
      </c>
      <c r="BY15" s="395">
        <f>Feed!$N$5*1000/12</f>
        <v>89250</v>
      </c>
      <c r="BZ15" s="395">
        <f>Feed!$N$5*1000/12</f>
        <v>89250</v>
      </c>
      <c r="CA15" s="395">
        <f>Feed!$N$5*1000/12</f>
        <v>89250</v>
      </c>
      <c r="CB15" s="395">
        <f>Feed!$N$5*1000/12</f>
        <v>89250</v>
      </c>
      <c r="CC15" s="395">
        <f>Feed!$N$5*1000/12</f>
        <v>89250</v>
      </c>
      <c r="CD15" s="395">
        <f>Feed!$N$5*1000/12</f>
        <v>89250</v>
      </c>
      <c r="CE15" s="395">
        <f>Feed!$N$5*1000/12</f>
        <v>89250</v>
      </c>
      <c r="CF15" s="395">
        <f>Feed!$N$5*1000/12</f>
        <v>89250</v>
      </c>
      <c r="CG15" s="395">
        <f>Feed!$N$5*1000/12</f>
        <v>89250</v>
      </c>
      <c r="CH15" s="395">
        <f>Feed!$N$5*1000/12</f>
        <v>89250</v>
      </c>
      <c r="CI15" s="395">
        <f>Feed!$N$5*1000/12</f>
        <v>89250</v>
      </c>
      <c r="CJ15" s="395">
        <f>Feed!$N$5*1000/12</f>
        <v>89250</v>
      </c>
      <c r="CK15" s="395">
        <f>Feed!$N$5*1000/12</f>
        <v>89250</v>
      </c>
      <c r="CL15" s="395">
        <f>Feed!$N$5*1000/12</f>
        <v>89250</v>
      </c>
      <c r="CM15" s="397">
        <f t="shared" ref="CM15:CM33" si="1">AVERAGE(G15:CL15)</f>
        <v>89250</v>
      </c>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row>
    <row r="16" spans="1:178">
      <c r="A16" s="1059" t="s">
        <v>312</v>
      </c>
      <c r="B16" s="286" t="s">
        <v>309</v>
      </c>
      <c r="C16" s="356" t="s">
        <v>310</v>
      </c>
      <c r="D16" s="356"/>
      <c r="E16" s="1062" t="s">
        <v>313</v>
      </c>
      <c r="F16" s="402" t="s">
        <v>145</v>
      </c>
      <c r="G16" s="403">
        <f>(Feed!$O$11/12)*1000</f>
        <v>114420.66666666666</v>
      </c>
      <c r="H16" s="403">
        <f>(Feed!$O$11/12)*1000</f>
        <v>114420.66666666666</v>
      </c>
      <c r="I16" s="403">
        <f>(Feed!$O$11/12)*1000</f>
        <v>114420.66666666666</v>
      </c>
      <c r="J16" s="403">
        <f>(Feed!$O$11/12)*1000</f>
        <v>114420.66666666666</v>
      </c>
      <c r="K16" s="403">
        <f>(Feed!$O$11/12)*1000</f>
        <v>114420.66666666666</v>
      </c>
      <c r="L16" s="403">
        <f>(Feed!$O$11/12)*1000</f>
        <v>114420.66666666666</v>
      </c>
      <c r="M16" s="403">
        <f>(Feed!$O$11/12)*1000</f>
        <v>114420.66666666666</v>
      </c>
      <c r="N16" s="403">
        <f>(Feed!$O$11/12)*1000</f>
        <v>114420.66666666666</v>
      </c>
      <c r="O16" s="403">
        <f>(Feed!$O$11/12)*1000</f>
        <v>114420.66666666666</v>
      </c>
      <c r="P16" s="403">
        <f>(Feed!$O$11/12)*1000</f>
        <v>114420.66666666666</v>
      </c>
      <c r="Q16" s="403">
        <f>(Feed!$O$11/12)*1000</f>
        <v>114420.66666666666</v>
      </c>
      <c r="R16" s="403">
        <f>(Feed!$O$11/12)*1000</f>
        <v>114420.66666666666</v>
      </c>
      <c r="S16" s="403">
        <f>(Feed!$O$11/12)*1000</f>
        <v>114420.66666666666</v>
      </c>
      <c r="T16" s="403">
        <f>(Feed!$O$11/12)*1000</f>
        <v>114420.66666666666</v>
      </c>
      <c r="U16" s="403">
        <f>(Feed!$O$11/12)*1000</f>
        <v>114420.66666666666</v>
      </c>
      <c r="V16" s="403">
        <f>(Feed!$O$11/12)*1000</f>
        <v>114420.66666666666</v>
      </c>
      <c r="W16" s="403">
        <f>(Feed!$O$11/12)*1000</f>
        <v>114420.66666666666</v>
      </c>
      <c r="X16" s="403">
        <f>(Feed!$O$11/12)*1000</f>
        <v>114420.66666666666</v>
      </c>
      <c r="Y16" s="403">
        <f>(Feed!$O$11/12)*1000</f>
        <v>114420.66666666666</v>
      </c>
      <c r="Z16" s="403">
        <f>(Feed!$O$11/12)*1000</f>
        <v>114420.66666666666</v>
      </c>
      <c r="AA16" s="403">
        <f>(Feed!$O$11/12)*1000</f>
        <v>114420.66666666666</v>
      </c>
      <c r="AB16" s="403">
        <f>(Feed!$O$11/12)*1000</f>
        <v>114420.66666666666</v>
      </c>
      <c r="AC16" s="403">
        <f>(Feed!$O$11/12)*1000</f>
        <v>114420.66666666666</v>
      </c>
      <c r="AD16" s="403">
        <f>(Feed!$O$11/12)*1000</f>
        <v>114420.66666666666</v>
      </c>
      <c r="AE16" s="403">
        <f>(Feed!$O$11/12)*1000</f>
        <v>114420.66666666666</v>
      </c>
      <c r="AF16" s="403">
        <f>(Feed!$O$11/12)*1000</f>
        <v>114420.66666666666</v>
      </c>
      <c r="AG16" s="403">
        <f>(Feed!$O$11/12)*1000</f>
        <v>114420.66666666666</v>
      </c>
      <c r="AH16" s="403">
        <f>(Feed!$O$11/12)*1000</f>
        <v>114420.66666666666</v>
      </c>
      <c r="AI16" s="403">
        <f>(Feed!$O$11/12)*1000</f>
        <v>114420.66666666666</v>
      </c>
      <c r="AJ16" s="403">
        <f>(Feed!$O$11/12)*1000</f>
        <v>114420.66666666666</v>
      </c>
      <c r="AK16" s="403">
        <f>(Feed!$O$11/12)*1000</f>
        <v>114420.66666666666</v>
      </c>
      <c r="AL16" s="403">
        <f>(Feed!$O$11/12)*1000</f>
        <v>114420.66666666666</v>
      </c>
      <c r="AM16" s="403">
        <f>(Feed!$O$11/12)*1000</f>
        <v>114420.66666666666</v>
      </c>
      <c r="AN16" s="403">
        <f>(Feed!$O$11/12)*1000</f>
        <v>114420.66666666666</v>
      </c>
      <c r="AO16" s="403">
        <f>(Feed!$O$11/12)*1000</f>
        <v>114420.66666666666</v>
      </c>
      <c r="AP16" s="403">
        <f>(Feed!$O$11/12)*1000</f>
        <v>114420.66666666666</v>
      </c>
      <c r="AQ16" s="403">
        <f>(Feed!$O$11/12)*1000</f>
        <v>114420.66666666666</v>
      </c>
      <c r="AR16" s="403">
        <f>(Feed!$O$11/12)*1000</f>
        <v>114420.66666666666</v>
      </c>
      <c r="AS16" s="403">
        <f>(Feed!$O$11/12)*1000</f>
        <v>114420.66666666666</v>
      </c>
      <c r="AT16" s="403">
        <f>(Feed!$O$11/12)*1000</f>
        <v>114420.66666666666</v>
      </c>
      <c r="AU16" s="403">
        <f>(Feed!$O$11/12)*1000</f>
        <v>114420.66666666666</v>
      </c>
      <c r="AV16" s="403">
        <f>(Feed!$O$11/12)*1000</f>
        <v>114420.66666666666</v>
      </c>
      <c r="AW16" s="403">
        <f>(Feed!$O$11/12)*1000</f>
        <v>114420.66666666666</v>
      </c>
      <c r="AX16" s="403">
        <f>(Feed!$O$11/12)*1000</f>
        <v>114420.66666666666</v>
      </c>
      <c r="AY16" s="403">
        <f>(Feed!$O$11/12)*1000</f>
        <v>114420.66666666666</v>
      </c>
      <c r="AZ16" s="403">
        <f>(Feed!$O$11/12)*1000</f>
        <v>114420.66666666666</v>
      </c>
      <c r="BA16" s="403">
        <f>(Feed!$O$11/12)*1000</f>
        <v>114420.66666666666</v>
      </c>
      <c r="BB16" s="403">
        <f>(Feed!$O$11/12)*1000</f>
        <v>114420.66666666666</v>
      </c>
      <c r="BC16" s="403">
        <f>(Feed!$O$11/12)*1000</f>
        <v>114420.66666666666</v>
      </c>
      <c r="BD16" s="403">
        <f>(Feed!$O$11/12)*1000</f>
        <v>114420.66666666666</v>
      </c>
      <c r="BE16" s="403">
        <f>(Feed!$O$11/12)*1000</f>
        <v>114420.66666666666</v>
      </c>
      <c r="BF16" s="403">
        <f>(Feed!$O$11/12)*1000</f>
        <v>114420.66666666666</v>
      </c>
      <c r="BG16" s="403">
        <f>(Feed!$O$11/12)*1000</f>
        <v>114420.66666666666</v>
      </c>
      <c r="BH16" s="403">
        <f>(Feed!$O$11/12)*1000</f>
        <v>114420.66666666666</v>
      </c>
      <c r="BI16" s="403">
        <f>(Feed!$O$11/12)*1000</f>
        <v>114420.66666666666</v>
      </c>
      <c r="BJ16" s="403">
        <f>(Feed!$O$11/12)*1000</f>
        <v>114420.66666666666</v>
      </c>
      <c r="BK16" s="403">
        <f>(Feed!$O$11/12)*1000</f>
        <v>114420.66666666666</v>
      </c>
      <c r="BL16" s="403">
        <f>(Feed!$O$11/12)*1000</f>
        <v>114420.66666666666</v>
      </c>
      <c r="BM16" s="403">
        <f>(Feed!$O$11/12)*1000</f>
        <v>114420.66666666666</v>
      </c>
      <c r="BN16" s="403">
        <f>(Feed!$O$11/12)*1000</f>
        <v>114420.66666666666</v>
      </c>
      <c r="BO16" s="403">
        <f>(Feed!$O$11/12)*1000</f>
        <v>114420.66666666666</v>
      </c>
      <c r="BP16" s="403">
        <f>(Feed!$O$11/12)*1000</f>
        <v>114420.66666666666</v>
      </c>
      <c r="BQ16" s="403">
        <f>(Feed!$O$11/12)*1000</f>
        <v>114420.66666666666</v>
      </c>
      <c r="BR16" s="403">
        <f>(Feed!$O$11/12)*1000</f>
        <v>114420.66666666666</v>
      </c>
      <c r="BS16" s="403">
        <f>(Feed!$O$11/12)*1000</f>
        <v>114420.66666666666</v>
      </c>
      <c r="BT16" s="403">
        <f>(Feed!$O$11/12)*1000</f>
        <v>114420.66666666666</v>
      </c>
      <c r="BU16" s="403">
        <f>(Feed!$O$11/12)*1000</f>
        <v>114420.66666666666</v>
      </c>
      <c r="BV16" s="403">
        <f>(Feed!$O$11/12)*1000</f>
        <v>114420.66666666666</v>
      </c>
      <c r="BW16" s="403">
        <f>(Feed!$O$11/12)*1000</f>
        <v>114420.66666666666</v>
      </c>
      <c r="BX16" s="403">
        <f>(Feed!$O$11/12)*1000</f>
        <v>114420.66666666666</v>
      </c>
      <c r="BY16" s="403">
        <f>(Feed!$O$11/12)*1000</f>
        <v>114420.66666666666</v>
      </c>
      <c r="BZ16" s="403">
        <f>(Feed!$O$11/12)*1000</f>
        <v>114420.66666666666</v>
      </c>
      <c r="CA16" s="403">
        <f>(Feed!$O$11/12)*1000</f>
        <v>114420.66666666666</v>
      </c>
      <c r="CB16" s="403">
        <f>(Feed!$O$11/12)*1000</f>
        <v>114420.66666666666</v>
      </c>
      <c r="CC16" s="403">
        <f>(Feed!$O$11/12)*1000</f>
        <v>114420.66666666666</v>
      </c>
      <c r="CD16" s="403">
        <f>(Feed!$O$11/12)*1000</f>
        <v>114420.66666666666</v>
      </c>
      <c r="CE16" s="403">
        <f>(Feed!$O$11/12)*1000</f>
        <v>114420.66666666666</v>
      </c>
      <c r="CF16" s="403">
        <f>(Feed!$O$11/12)*1000</f>
        <v>114420.66666666666</v>
      </c>
      <c r="CG16" s="403">
        <f>(Feed!$O$11/12)*1000</f>
        <v>114420.66666666666</v>
      </c>
      <c r="CH16" s="403">
        <f>(Feed!$O$11/12)*1000</f>
        <v>114420.66666666666</v>
      </c>
      <c r="CI16" s="403">
        <f>(Feed!$O$11/12)*1000</f>
        <v>114420.66666666666</v>
      </c>
      <c r="CJ16" s="403">
        <f>(Feed!$O$11/12)*1000</f>
        <v>114420.66666666666</v>
      </c>
      <c r="CK16" s="403">
        <f>(Feed!$O$11/12)*1000</f>
        <v>114420.66666666666</v>
      </c>
      <c r="CL16" s="403">
        <f>(Feed!$O$11/12)*1000</f>
        <v>114420.66666666666</v>
      </c>
      <c r="CM16" s="403">
        <f t="shared" si="1"/>
        <v>114420.66666666669</v>
      </c>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row>
    <row r="17" spans="1:178">
      <c r="A17" s="1060"/>
      <c r="B17" s="2" t="s">
        <v>309</v>
      </c>
      <c r="C17" s="362" t="s">
        <v>310</v>
      </c>
      <c r="D17" s="362"/>
      <c r="E17" s="1063"/>
      <c r="F17" s="404" t="s">
        <v>2</v>
      </c>
      <c r="G17" s="405">
        <f>(Feed!$O$12/12)*1000</f>
        <v>28512</v>
      </c>
      <c r="H17" s="405">
        <f>(Feed!$O$12/12)*1000</f>
        <v>28512</v>
      </c>
      <c r="I17" s="405">
        <f>(Feed!$O$12/12)*1000</f>
        <v>28512</v>
      </c>
      <c r="J17" s="405">
        <f>(Feed!$O$12/12)*1000</f>
        <v>28512</v>
      </c>
      <c r="K17" s="405">
        <f>(Feed!$O$12/12)*1000</f>
        <v>28512</v>
      </c>
      <c r="L17" s="405">
        <f>(Feed!$O$12/12)*1000</f>
        <v>28512</v>
      </c>
      <c r="M17" s="405">
        <f>(Feed!$O$12/12)*1000</f>
        <v>28512</v>
      </c>
      <c r="N17" s="405">
        <f>(Feed!$O$12/12)*1000</f>
        <v>28512</v>
      </c>
      <c r="O17" s="405">
        <f>(Feed!$O$12/12)*1000</f>
        <v>28512</v>
      </c>
      <c r="P17" s="405">
        <f>(Feed!$O$12/12)*1000</f>
        <v>28512</v>
      </c>
      <c r="Q17" s="405">
        <f>(Feed!$O$12/12)*1000</f>
        <v>28512</v>
      </c>
      <c r="R17" s="405">
        <f>(Feed!$O$12/12)*1000</f>
        <v>28512</v>
      </c>
      <c r="S17" s="405">
        <f>(Feed!$O$12/12)*1000</f>
        <v>28512</v>
      </c>
      <c r="T17" s="405">
        <f>(Feed!$O$12/12)*1000</f>
        <v>28512</v>
      </c>
      <c r="U17" s="405">
        <f>(Feed!$O$12/12)*1000</f>
        <v>28512</v>
      </c>
      <c r="V17" s="405">
        <f>(Feed!$O$12/12)*1000</f>
        <v>28512</v>
      </c>
      <c r="W17" s="405">
        <f>(Feed!$O$12/12)*1000</f>
        <v>28512</v>
      </c>
      <c r="X17" s="405">
        <f>(Feed!$O$12/12)*1000</f>
        <v>28512</v>
      </c>
      <c r="Y17" s="405">
        <f>(Feed!$O$12/12)*1000</f>
        <v>28512</v>
      </c>
      <c r="Z17" s="405">
        <f>(Feed!$O$12/12)*1000</f>
        <v>28512</v>
      </c>
      <c r="AA17" s="405">
        <f>(Feed!$O$12/12)*1000</f>
        <v>28512</v>
      </c>
      <c r="AB17" s="405">
        <f>(Feed!$O$12/12)*1000</f>
        <v>28512</v>
      </c>
      <c r="AC17" s="405">
        <f>(Feed!$O$12/12)*1000</f>
        <v>28512</v>
      </c>
      <c r="AD17" s="405">
        <f>(Feed!$O$12/12)*1000</f>
        <v>28512</v>
      </c>
      <c r="AE17" s="405">
        <f>(Feed!$O$12/12)*1000</f>
        <v>28512</v>
      </c>
      <c r="AF17" s="405">
        <f>(Feed!$O$12/12)*1000</f>
        <v>28512</v>
      </c>
      <c r="AG17" s="405">
        <f>(Feed!$O$12/12)*1000</f>
        <v>28512</v>
      </c>
      <c r="AH17" s="405">
        <f>(Feed!$O$12/12)*1000</f>
        <v>28512</v>
      </c>
      <c r="AI17" s="405">
        <f>(Feed!$O$12/12)*1000</f>
        <v>28512</v>
      </c>
      <c r="AJ17" s="405">
        <f>(Feed!$O$12/12)*1000</f>
        <v>28512</v>
      </c>
      <c r="AK17" s="405">
        <f>(Feed!$O$12/12)*1000</f>
        <v>28512</v>
      </c>
      <c r="AL17" s="405">
        <f>(Feed!$O$12/12)*1000</f>
        <v>28512</v>
      </c>
      <c r="AM17" s="405">
        <f>(Feed!$O$12/12)*1000</f>
        <v>28512</v>
      </c>
      <c r="AN17" s="405">
        <f>(Feed!$O$12/12)*1000</f>
        <v>28512</v>
      </c>
      <c r="AO17" s="405">
        <f>(Feed!$O$12/12)*1000</f>
        <v>28512</v>
      </c>
      <c r="AP17" s="405">
        <f>(Feed!$O$12/12)*1000</f>
        <v>28512</v>
      </c>
      <c r="AQ17" s="405">
        <f>(Feed!$O$12/12)*1000</f>
        <v>28512</v>
      </c>
      <c r="AR17" s="405">
        <f>(Feed!$O$12/12)*1000</f>
        <v>28512</v>
      </c>
      <c r="AS17" s="405">
        <f>(Feed!$O$12/12)*1000</f>
        <v>28512</v>
      </c>
      <c r="AT17" s="405">
        <f>(Feed!$O$12/12)*1000</f>
        <v>28512</v>
      </c>
      <c r="AU17" s="405">
        <f>(Feed!$O$12/12)*1000</f>
        <v>28512</v>
      </c>
      <c r="AV17" s="405">
        <f>(Feed!$O$12/12)*1000</f>
        <v>28512</v>
      </c>
      <c r="AW17" s="405">
        <f>(Feed!$O$12/12)*1000</f>
        <v>28512</v>
      </c>
      <c r="AX17" s="405">
        <f>(Feed!$O$12/12)*1000</f>
        <v>28512</v>
      </c>
      <c r="AY17" s="405">
        <f>(Feed!$O$12/12)*1000</f>
        <v>28512</v>
      </c>
      <c r="AZ17" s="405">
        <f>(Feed!$O$12/12)*1000</f>
        <v>28512</v>
      </c>
      <c r="BA17" s="405">
        <f>(Feed!$O$12/12)*1000</f>
        <v>28512</v>
      </c>
      <c r="BB17" s="405">
        <f>(Feed!$O$12/12)*1000</f>
        <v>28512</v>
      </c>
      <c r="BC17" s="405">
        <f>(Feed!$O$12/12)*1000</f>
        <v>28512</v>
      </c>
      <c r="BD17" s="405">
        <f>(Feed!$O$12/12)*1000</f>
        <v>28512</v>
      </c>
      <c r="BE17" s="405">
        <f>(Feed!$O$12/12)*1000</f>
        <v>28512</v>
      </c>
      <c r="BF17" s="405">
        <f>(Feed!$O$12/12)*1000</f>
        <v>28512</v>
      </c>
      <c r="BG17" s="405">
        <f>(Feed!$O$12/12)*1000</f>
        <v>28512</v>
      </c>
      <c r="BH17" s="405">
        <f>(Feed!$O$12/12)*1000</f>
        <v>28512</v>
      </c>
      <c r="BI17" s="405">
        <f>(Feed!$O$12/12)*1000</f>
        <v>28512</v>
      </c>
      <c r="BJ17" s="405">
        <f>(Feed!$O$12/12)*1000</f>
        <v>28512</v>
      </c>
      <c r="BK17" s="405">
        <f>(Feed!$O$12/12)*1000</f>
        <v>28512</v>
      </c>
      <c r="BL17" s="405">
        <f>(Feed!$O$12/12)*1000</f>
        <v>28512</v>
      </c>
      <c r="BM17" s="405">
        <f>(Feed!$O$12/12)*1000</f>
        <v>28512</v>
      </c>
      <c r="BN17" s="405">
        <f>(Feed!$O$12/12)*1000</f>
        <v>28512</v>
      </c>
      <c r="BO17" s="405">
        <f>(Feed!$O$12/12)*1000</f>
        <v>28512</v>
      </c>
      <c r="BP17" s="405">
        <f>(Feed!$O$12/12)*1000</f>
        <v>28512</v>
      </c>
      <c r="BQ17" s="405">
        <f>(Feed!$O$12/12)*1000</f>
        <v>28512</v>
      </c>
      <c r="BR17" s="405">
        <f>(Feed!$O$12/12)*1000</f>
        <v>28512</v>
      </c>
      <c r="BS17" s="405">
        <f>(Feed!$O$12/12)*1000</f>
        <v>28512</v>
      </c>
      <c r="BT17" s="405">
        <f>(Feed!$O$12/12)*1000</f>
        <v>28512</v>
      </c>
      <c r="BU17" s="405">
        <f>(Feed!$O$12/12)*1000</f>
        <v>28512</v>
      </c>
      <c r="BV17" s="405">
        <f>(Feed!$O$12/12)*1000</f>
        <v>28512</v>
      </c>
      <c r="BW17" s="405">
        <f>(Feed!$O$12/12)*1000</f>
        <v>28512</v>
      </c>
      <c r="BX17" s="405">
        <f>(Feed!$O$12/12)*1000</f>
        <v>28512</v>
      </c>
      <c r="BY17" s="405">
        <f>(Feed!$O$12/12)*1000</f>
        <v>28512</v>
      </c>
      <c r="BZ17" s="405">
        <f>(Feed!$O$12/12)*1000</f>
        <v>28512</v>
      </c>
      <c r="CA17" s="405">
        <f>(Feed!$O$12/12)*1000</f>
        <v>28512</v>
      </c>
      <c r="CB17" s="405">
        <f>(Feed!$O$12/12)*1000</f>
        <v>28512</v>
      </c>
      <c r="CC17" s="405">
        <f>(Feed!$O$12/12)*1000</f>
        <v>28512</v>
      </c>
      <c r="CD17" s="405">
        <f>(Feed!$O$12/12)*1000</f>
        <v>28512</v>
      </c>
      <c r="CE17" s="405">
        <f>(Feed!$O$12/12)*1000</f>
        <v>28512</v>
      </c>
      <c r="CF17" s="405">
        <f>(Feed!$O$12/12)*1000</f>
        <v>28512</v>
      </c>
      <c r="CG17" s="405">
        <f>(Feed!$O$12/12)*1000</f>
        <v>28512</v>
      </c>
      <c r="CH17" s="405">
        <f>(Feed!$O$12/12)*1000</f>
        <v>28512</v>
      </c>
      <c r="CI17" s="405">
        <f>(Feed!$O$12/12)*1000</f>
        <v>28512</v>
      </c>
      <c r="CJ17" s="405">
        <f>(Feed!$O$12/12)*1000</f>
        <v>28512</v>
      </c>
      <c r="CK17" s="405">
        <f>(Feed!$O$12/12)*1000</f>
        <v>28512</v>
      </c>
      <c r="CL17" s="405">
        <f>(Feed!$O$12/12)*1000</f>
        <v>28512</v>
      </c>
      <c r="CM17" s="405">
        <f t="shared" si="1"/>
        <v>28512</v>
      </c>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row>
    <row r="18" spans="1:178">
      <c r="A18" s="1060"/>
      <c r="B18" s="2" t="s">
        <v>309</v>
      </c>
      <c r="C18" s="362" t="s">
        <v>310</v>
      </c>
      <c r="D18" s="362"/>
      <c r="E18" s="1063"/>
      <c r="F18" s="404" t="str">
        <f>F7</f>
        <v xml:space="preserve">Benzene </v>
      </c>
      <c r="G18" s="405">
        <f>Feed!$O14*1000/12</f>
        <v>8204.7900000000027</v>
      </c>
      <c r="H18" s="405">
        <f>Feed!$O14*1000/12</f>
        <v>8204.7900000000027</v>
      </c>
      <c r="I18" s="405">
        <f>Feed!$O14*1000/12</f>
        <v>8204.7900000000027</v>
      </c>
      <c r="J18" s="405">
        <f>Feed!$O14*1000/12</f>
        <v>8204.7900000000027</v>
      </c>
      <c r="K18" s="405">
        <f>Feed!$O14*1000/12</f>
        <v>8204.7900000000027</v>
      </c>
      <c r="L18" s="405">
        <f>Feed!$O14*1000/12</f>
        <v>8204.7900000000027</v>
      </c>
      <c r="M18" s="405">
        <f>Feed!$O14*1000/12</f>
        <v>8204.7900000000027</v>
      </c>
      <c r="N18" s="405">
        <f>Feed!$O14*1000/12</f>
        <v>8204.7900000000027</v>
      </c>
      <c r="O18" s="405">
        <f>Feed!$O14*1000/12</f>
        <v>8204.7900000000027</v>
      </c>
      <c r="P18" s="405">
        <f>Feed!$O14*1000/12</f>
        <v>8204.7900000000027</v>
      </c>
      <c r="Q18" s="405">
        <f>Feed!$O14*1000/12</f>
        <v>8204.7900000000027</v>
      </c>
      <c r="R18" s="405">
        <f>Feed!$O14*1000/12</f>
        <v>8204.7900000000027</v>
      </c>
      <c r="S18" s="405">
        <f>Feed!$O14*1000/12</f>
        <v>8204.7900000000027</v>
      </c>
      <c r="T18" s="405">
        <f>Feed!$O14*1000/12</f>
        <v>8204.7900000000027</v>
      </c>
      <c r="U18" s="405">
        <f>Feed!$O14*1000/12</f>
        <v>8204.7900000000027</v>
      </c>
      <c r="V18" s="405">
        <f>Feed!$O14*1000/12</f>
        <v>8204.7900000000027</v>
      </c>
      <c r="W18" s="405">
        <f>Feed!$O14*1000/12</f>
        <v>8204.7900000000027</v>
      </c>
      <c r="X18" s="405">
        <f>Feed!$O14*1000/12</f>
        <v>8204.7900000000027</v>
      </c>
      <c r="Y18" s="405">
        <f>Feed!$O14*1000/12</f>
        <v>8204.7900000000027</v>
      </c>
      <c r="Z18" s="405">
        <f>Feed!$O14*1000/12</f>
        <v>8204.7900000000027</v>
      </c>
      <c r="AA18" s="405">
        <f>Feed!$O14*1000/12</f>
        <v>8204.7900000000027</v>
      </c>
      <c r="AB18" s="405">
        <f>Feed!$O14*1000/12</f>
        <v>8204.7900000000027</v>
      </c>
      <c r="AC18" s="405">
        <f>Feed!$O14*1000/12</f>
        <v>8204.7900000000027</v>
      </c>
      <c r="AD18" s="405">
        <f>Feed!$O14*1000/12</f>
        <v>8204.7900000000027</v>
      </c>
      <c r="AE18" s="405">
        <f>Feed!$O14*1000/12</f>
        <v>8204.7900000000027</v>
      </c>
      <c r="AF18" s="405">
        <f>Feed!$O14*1000/12</f>
        <v>8204.7900000000027</v>
      </c>
      <c r="AG18" s="405">
        <f>Feed!$O14*1000/12</f>
        <v>8204.7900000000027</v>
      </c>
      <c r="AH18" s="405">
        <f>Feed!$O14*1000/12</f>
        <v>8204.7900000000027</v>
      </c>
      <c r="AI18" s="405">
        <f>Feed!$O14*1000/12</f>
        <v>8204.7900000000027</v>
      </c>
      <c r="AJ18" s="405">
        <f>Feed!$O14*1000/12</f>
        <v>8204.7900000000027</v>
      </c>
      <c r="AK18" s="405">
        <f>Feed!$O14*1000/12</f>
        <v>8204.7900000000027</v>
      </c>
      <c r="AL18" s="405">
        <f>Feed!$O14*1000/12</f>
        <v>8204.7900000000027</v>
      </c>
      <c r="AM18" s="405">
        <f>Feed!$O14*1000/12</f>
        <v>8204.7900000000027</v>
      </c>
      <c r="AN18" s="405">
        <f>Feed!$O14*1000/12</f>
        <v>8204.7900000000027</v>
      </c>
      <c r="AO18" s="405">
        <f>Feed!$O14*1000/12</f>
        <v>8204.7900000000027</v>
      </c>
      <c r="AP18" s="405">
        <f>Feed!$O14*1000/12</f>
        <v>8204.7900000000027</v>
      </c>
      <c r="AQ18" s="405">
        <f>Feed!$O14*1000/12</f>
        <v>8204.7900000000027</v>
      </c>
      <c r="AR18" s="405">
        <f>Feed!$O14*1000/12</f>
        <v>8204.7900000000027</v>
      </c>
      <c r="AS18" s="405">
        <f>Feed!$O14*1000/12</f>
        <v>8204.7900000000027</v>
      </c>
      <c r="AT18" s="405">
        <f>Feed!$O14*1000/12</f>
        <v>8204.7900000000027</v>
      </c>
      <c r="AU18" s="405">
        <f>Feed!$O14*1000/12</f>
        <v>8204.7900000000027</v>
      </c>
      <c r="AV18" s="405">
        <f>Feed!$O14*1000/12</f>
        <v>8204.7900000000027</v>
      </c>
      <c r="AW18" s="405">
        <f>Feed!$O14*1000/12</f>
        <v>8204.7900000000027</v>
      </c>
      <c r="AX18" s="405">
        <f>Feed!$O14*1000/12</f>
        <v>8204.7900000000027</v>
      </c>
      <c r="AY18" s="405">
        <f>Feed!$O14*1000/12</f>
        <v>8204.7900000000027</v>
      </c>
      <c r="AZ18" s="405">
        <f>Feed!$O14*1000/12</f>
        <v>8204.7900000000027</v>
      </c>
      <c r="BA18" s="405">
        <f>Feed!$O14*1000/12</f>
        <v>8204.7900000000027</v>
      </c>
      <c r="BB18" s="405">
        <f>Feed!$O14*1000/12</f>
        <v>8204.7900000000027</v>
      </c>
      <c r="BC18" s="405">
        <f>Feed!$O14*1000/12</f>
        <v>8204.7900000000027</v>
      </c>
      <c r="BD18" s="405">
        <f>Feed!$O14*1000/12</f>
        <v>8204.7900000000027</v>
      </c>
      <c r="BE18" s="405">
        <f>Feed!$O14*1000/12</f>
        <v>8204.7900000000027</v>
      </c>
      <c r="BF18" s="405">
        <f>Feed!$O14*1000/12</f>
        <v>8204.7900000000027</v>
      </c>
      <c r="BG18" s="405">
        <f>Feed!$O14*1000/12</f>
        <v>8204.7900000000027</v>
      </c>
      <c r="BH18" s="405">
        <f>Feed!$O14*1000/12</f>
        <v>8204.7900000000027</v>
      </c>
      <c r="BI18" s="405">
        <f>Feed!$O14*1000/12</f>
        <v>8204.7900000000027</v>
      </c>
      <c r="BJ18" s="405">
        <f>Feed!$O14*1000/12</f>
        <v>8204.7900000000027</v>
      </c>
      <c r="BK18" s="405">
        <f>Feed!$O14*1000/12</f>
        <v>8204.7900000000027</v>
      </c>
      <c r="BL18" s="405">
        <f>Feed!$O14*1000/12</f>
        <v>8204.7900000000027</v>
      </c>
      <c r="BM18" s="405">
        <f>Feed!$O14*1000/12</f>
        <v>8204.7900000000027</v>
      </c>
      <c r="BN18" s="405">
        <f>Feed!$O14*1000/12</f>
        <v>8204.7900000000027</v>
      </c>
      <c r="BO18" s="405">
        <f>Feed!$O14*1000/12</f>
        <v>8204.7900000000027</v>
      </c>
      <c r="BP18" s="405">
        <f>Feed!$O14*1000/12</f>
        <v>8204.7900000000027</v>
      </c>
      <c r="BQ18" s="405">
        <f>Feed!$O14*1000/12</f>
        <v>8204.7900000000027</v>
      </c>
      <c r="BR18" s="405">
        <f>Feed!$O14*1000/12</f>
        <v>8204.7900000000027</v>
      </c>
      <c r="BS18" s="405">
        <f>Feed!$O14*1000/12</f>
        <v>8204.7900000000027</v>
      </c>
      <c r="BT18" s="405">
        <f>Feed!$O14*1000/12</f>
        <v>8204.7900000000027</v>
      </c>
      <c r="BU18" s="405">
        <f>Feed!$O14*1000/12</f>
        <v>8204.7900000000027</v>
      </c>
      <c r="BV18" s="405">
        <f>Feed!$O14*1000/12</f>
        <v>8204.7900000000027</v>
      </c>
      <c r="BW18" s="405">
        <f>Feed!$O14*1000/12</f>
        <v>8204.7900000000027</v>
      </c>
      <c r="BX18" s="405">
        <f>Feed!$O14*1000/12</f>
        <v>8204.7900000000027</v>
      </c>
      <c r="BY18" s="405">
        <f>Feed!$O14*1000/12</f>
        <v>8204.7900000000027</v>
      </c>
      <c r="BZ18" s="405">
        <f>Feed!$O14*1000/12</f>
        <v>8204.7900000000027</v>
      </c>
      <c r="CA18" s="405">
        <f>Feed!$O14*1000/12</f>
        <v>8204.7900000000027</v>
      </c>
      <c r="CB18" s="405">
        <f>Feed!$O14*1000/12</f>
        <v>8204.7900000000027</v>
      </c>
      <c r="CC18" s="405">
        <f>Feed!$O14*1000/12</f>
        <v>8204.7900000000027</v>
      </c>
      <c r="CD18" s="405">
        <f>Feed!$O14*1000/12</f>
        <v>8204.7900000000027</v>
      </c>
      <c r="CE18" s="405">
        <f>Feed!$O14*1000/12</f>
        <v>8204.7900000000027</v>
      </c>
      <c r="CF18" s="405">
        <f>Feed!$O14*1000/12</f>
        <v>8204.7900000000027</v>
      </c>
      <c r="CG18" s="405">
        <f>Feed!$O14*1000/12</f>
        <v>8204.7900000000027</v>
      </c>
      <c r="CH18" s="405">
        <f>Feed!$O14*1000/12</f>
        <v>8204.7900000000027</v>
      </c>
      <c r="CI18" s="405">
        <f>Feed!$O14*1000/12</f>
        <v>8204.7900000000027</v>
      </c>
      <c r="CJ18" s="405">
        <f>Feed!$O14*1000/12</f>
        <v>8204.7900000000027</v>
      </c>
      <c r="CK18" s="405">
        <f>Feed!$O14*1000/12</f>
        <v>8204.7900000000027</v>
      </c>
      <c r="CL18" s="405">
        <f>Feed!$O14*1000/12</f>
        <v>8204.7900000000027</v>
      </c>
      <c r="CM18" s="405">
        <f t="shared" si="1"/>
        <v>8204.7900000000045</v>
      </c>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row>
    <row r="19" spans="1:178">
      <c r="A19" s="1060"/>
      <c r="B19" s="2" t="s">
        <v>309</v>
      </c>
      <c r="C19" s="362" t="s">
        <v>310</v>
      </c>
      <c r="D19" s="362"/>
      <c r="E19" s="1063"/>
      <c r="F19" s="404" t="str">
        <f>F8</f>
        <v xml:space="preserve"> 1,3 Butadiene </v>
      </c>
      <c r="G19" s="405">
        <f>Feed!$O$15*1000/12</f>
        <v>8715.966666666669</v>
      </c>
      <c r="H19" s="405">
        <f>Feed!$O$15*1000/12</f>
        <v>8715.966666666669</v>
      </c>
      <c r="I19" s="405">
        <f>Feed!$O$15*1000/12</f>
        <v>8715.966666666669</v>
      </c>
      <c r="J19" s="405">
        <f>Feed!$O$15*1000/12</f>
        <v>8715.966666666669</v>
      </c>
      <c r="K19" s="405">
        <f>Feed!$O$15*1000/12</f>
        <v>8715.966666666669</v>
      </c>
      <c r="L19" s="405">
        <f>Feed!$O$15*1000/12</f>
        <v>8715.966666666669</v>
      </c>
      <c r="M19" s="405">
        <f>Feed!$O$15*1000/12</f>
        <v>8715.966666666669</v>
      </c>
      <c r="N19" s="405">
        <f>Feed!$O$15*1000/12</f>
        <v>8715.966666666669</v>
      </c>
      <c r="O19" s="405">
        <f>Feed!$O$15*1000/12</f>
        <v>8715.966666666669</v>
      </c>
      <c r="P19" s="405">
        <f>Feed!$O$15*1000/12</f>
        <v>8715.966666666669</v>
      </c>
      <c r="Q19" s="405">
        <f>Feed!$O$15*1000/12</f>
        <v>8715.966666666669</v>
      </c>
      <c r="R19" s="405">
        <f>Feed!$O$15*1000/12</f>
        <v>8715.966666666669</v>
      </c>
      <c r="S19" s="405">
        <f>Feed!$O$15*1000/12</f>
        <v>8715.966666666669</v>
      </c>
      <c r="T19" s="405">
        <f>Feed!$O$15*1000/12</f>
        <v>8715.966666666669</v>
      </c>
      <c r="U19" s="405">
        <f>Feed!$O$15*1000/12</f>
        <v>8715.966666666669</v>
      </c>
      <c r="V19" s="405">
        <f>Feed!$O$15*1000/12</f>
        <v>8715.966666666669</v>
      </c>
      <c r="W19" s="405">
        <f>Feed!$O$15*1000/12</f>
        <v>8715.966666666669</v>
      </c>
      <c r="X19" s="405">
        <f>Feed!$O$15*1000/12</f>
        <v>8715.966666666669</v>
      </c>
      <c r="Y19" s="405">
        <f>Feed!$O$15*1000/12</f>
        <v>8715.966666666669</v>
      </c>
      <c r="Z19" s="405">
        <f>Feed!$O$15*1000/12</f>
        <v>8715.966666666669</v>
      </c>
      <c r="AA19" s="405">
        <f>Feed!$O$15*1000/12</f>
        <v>8715.966666666669</v>
      </c>
      <c r="AB19" s="405">
        <f>Feed!$O$15*1000/12</f>
        <v>8715.966666666669</v>
      </c>
      <c r="AC19" s="405">
        <f>Feed!$O$15*1000/12</f>
        <v>8715.966666666669</v>
      </c>
      <c r="AD19" s="405">
        <f>Feed!$O$15*1000/12</f>
        <v>8715.966666666669</v>
      </c>
      <c r="AE19" s="405">
        <f>Feed!$O$15*1000/12</f>
        <v>8715.966666666669</v>
      </c>
      <c r="AF19" s="405">
        <f>Feed!$O$15*1000/12</f>
        <v>8715.966666666669</v>
      </c>
      <c r="AG19" s="405">
        <f>Feed!$O$15*1000/12</f>
        <v>8715.966666666669</v>
      </c>
      <c r="AH19" s="405">
        <f>Feed!$O$15*1000/12</f>
        <v>8715.966666666669</v>
      </c>
      <c r="AI19" s="405">
        <f>Feed!$O$15*1000/12</f>
        <v>8715.966666666669</v>
      </c>
      <c r="AJ19" s="405">
        <f>Feed!$O$15*1000/12</f>
        <v>8715.966666666669</v>
      </c>
      <c r="AK19" s="405">
        <f>Feed!$O$15*1000/12</f>
        <v>8715.966666666669</v>
      </c>
      <c r="AL19" s="405">
        <f>Feed!$O$15*1000/12</f>
        <v>8715.966666666669</v>
      </c>
      <c r="AM19" s="405">
        <f>Feed!$O$15*1000/12</f>
        <v>8715.966666666669</v>
      </c>
      <c r="AN19" s="405">
        <f>Feed!$O$15*1000/12</f>
        <v>8715.966666666669</v>
      </c>
      <c r="AO19" s="405">
        <f>Feed!$O$15*1000/12</f>
        <v>8715.966666666669</v>
      </c>
      <c r="AP19" s="405">
        <f>Feed!$O$15*1000/12</f>
        <v>8715.966666666669</v>
      </c>
      <c r="AQ19" s="405">
        <f>Feed!$O$15*1000/12</f>
        <v>8715.966666666669</v>
      </c>
      <c r="AR19" s="405">
        <f>Feed!$O$15*1000/12</f>
        <v>8715.966666666669</v>
      </c>
      <c r="AS19" s="405">
        <f>Feed!$O$15*1000/12</f>
        <v>8715.966666666669</v>
      </c>
      <c r="AT19" s="405">
        <f>Feed!$O$15*1000/12</f>
        <v>8715.966666666669</v>
      </c>
      <c r="AU19" s="405">
        <f>Feed!$O$15*1000/12</f>
        <v>8715.966666666669</v>
      </c>
      <c r="AV19" s="405">
        <f>Feed!$O$15*1000/12</f>
        <v>8715.966666666669</v>
      </c>
      <c r="AW19" s="405">
        <f>Feed!$O$15*1000/12</f>
        <v>8715.966666666669</v>
      </c>
      <c r="AX19" s="405">
        <f>Feed!$O$15*1000/12</f>
        <v>8715.966666666669</v>
      </c>
      <c r="AY19" s="405">
        <f>Feed!$O$15*1000/12</f>
        <v>8715.966666666669</v>
      </c>
      <c r="AZ19" s="405">
        <f>Feed!$O$15*1000/12</f>
        <v>8715.966666666669</v>
      </c>
      <c r="BA19" s="405">
        <f>Feed!$O$15*1000/12</f>
        <v>8715.966666666669</v>
      </c>
      <c r="BB19" s="405">
        <f>Feed!$O$15*1000/12</f>
        <v>8715.966666666669</v>
      </c>
      <c r="BC19" s="405">
        <f>Feed!$O$15*1000/12</f>
        <v>8715.966666666669</v>
      </c>
      <c r="BD19" s="405">
        <f>Feed!$O$15*1000/12</f>
        <v>8715.966666666669</v>
      </c>
      <c r="BE19" s="405">
        <f>Feed!$O$15*1000/12</f>
        <v>8715.966666666669</v>
      </c>
      <c r="BF19" s="405">
        <f>Feed!$O$15*1000/12</f>
        <v>8715.966666666669</v>
      </c>
      <c r="BG19" s="405">
        <f>Feed!$O$15*1000/12</f>
        <v>8715.966666666669</v>
      </c>
      <c r="BH19" s="405">
        <f>Feed!$O$15*1000/12</f>
        <v>8715.966666666669</v>
      </c>
      <c r="BI19" s="405">
        <f>Feed!$O$15*1000/12</f>
        <v>8715.966666666669</v>
      </c>
      <c r="BJ19" s="405">
        <f>Feed!$O$15*1000/12</f>
        <v>8715.966666666669</v>
      </c>
      <c r="BK19" s="405">
        <f>Feed!$O$15*1000/12</f>
        <v>8715.966666666669</v>
      </c>
      <c r="BL19" s="405">
        <f>Feed!$O$15*1000/12</f>
        <v>8715.966666666669</v>
      </c>
      <c r="BM19" s="405">
        <f>Feed!$O$15*1000/12</f>
        <v>8715.966666666669</v>
      </c>
      <c r="BN19" s="405">
        <f>Feed!$O$15*1000/12</f>
        <v>8715.966666666669</v>
      </c>
      <c r="BO19" s="405">
        <f>Feed!$O$15*1000/12</f>
        <v>8715.966666666669</v>
      </c>
      <c r="BP19" s="405">
        <f>Feed!$O$15*1000/12</f>
        <v>8715.966666666669</v>
      </c>
      <c r="BQ19" s="405">
        <f>Feed!$O$15*1000/12</f>
        <v>8715.966666666669</v>
      </c>
      <c r="BR19" s="405">
        <f>Feed!$O$15*1000/12</f>
        <v>8715.966666666669</v>
      </c>
      <c r="BS19" s="405">
        <f>Feed!$O$15*1000/12</f>
        <v>8715.966666666669</v>
      </c>
      <c r="BT19" s="405">
        <f>Feed!$O$15*1000/12</f>
        <v>8715.966666666669</v>
      </c>
      <c r="BU19" s="405">
        <f>Feed!$O$15*1000/12</f>
        <v>8715.966666666669</v>
      </c>
      <c r="BV19" s="405">
        <f>Feed!$O$15*1000/12</f>
        <v>8715.966666666669</v>
      </c>
      <c r="BW19" s="405">
        <f>Feed!$O$15*1000/12</f>
        <v>8715.966666666669</v>
      </c>
      <c r="BX19" s="405">
        <f>Feed!$O$15*1000/12</f>
        <v>8715.966666666669</v>
      </c>
      <c r="BY19" s="405">
        <f>Feed!$O$15*1000/12</f>
        <v>8715.966666666669</v>
      </c>
      <c r="BZ19" s="405">
        <f>Feed!$O$15*1000/12</f>
        <v>8715.966666666669</v>
      </c>
      <c r="CA19" s="405">
        <f>Feed!$O$15*1000/12</f>
        <v>8715.966666666669</v>
      </c>
      <c r="CB19" s="405">
        <f>Feed!$O$15*1000/12</f>
        <v>8715.966666666669</v>
      </c>
      <c r="CC19" s="405">
        <f>Feed!$O$15*1000/12</f>
        <v>8715.966666666669</v>
      </c>
      <c r="CD19" s="405">
        <f>Feed!$O$15*1000/12</f>
        <v>8715.966666666669</v>
      </c>
      <c r="CE19" s="405">
        <f>Feed!$O$15*1000/12</f>
        <v>8715.966666666669</v>
      </c>
      <c r="CF19" s="405">
        <f>Feed!$O$15*1000/12</f>
        <v>8715.966666666669</v>
      </c>
      <c r="CG19" s="405">
        <f>Feed!$O$15*1000/12</f>
        <v>8715.966666666669</v>
      </c>
      <c r="CH19" s="405">
        <f>Feed!$O$15*1000/12</f>
        <v>8715.966666666669</v>
      </c>
      <c r="CI19" s="405">
        <f>Feed!$O$15*1000/12</f>
        <v>8715.966666666669</v>
      </c>
      <c r="CJ19" s="405">
        <f>Feed!$O$15*1000/12</f>
        <v>8715.966666666669</v>
      </c>
      <c r="CK19" s="405">
        <f>Feed!$O$15*1000/12</f>
        <v>8715.966666666669</v>
      </c>
      <c r="CL19" s="405">
        <f>Feed!$O$15*1000/12</f>
        <v>8715.966666666669</v>
      </c>
      <c r="CM19" s="405">
        <f t="shared" si="1"/>
        <v>8715.9666666666726</v>
      </c>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row>
    <row r="20" spans="1:178">
      <c r="A20" s="1060"/>
      <c r="B20" s="2" t="s">
        <v>309</v>
      </c>
      <c r="C20" s="362" t="s">
        <v>310</v>
      </c>
      <c r="D20" s="362"/>
      <c r="E20" s="1063"/>
      <c r="F20" s="404" t="str">
        <f>F9</f>
        <v xml:space="preserve"> Hydrogenated Pygas (HPG) </v>
      </c>
      <c r="G20" s="405">
        <f>G12*'Cracker Yields'!$H$8+'Financial Model Eth. Fur. Add.'!G13*'Cracker Yields'!$I$8+'Financial Model Eth. Fur. Add.'!G14*'Cracker Yields'!$J$8+'Financial Model Eth. Fur. Add.'!G15*'Cracker Yields'!$K$8</f>
        <v>9845.7479999999996</v>
      </c>
      <c r="H20" s="405">
        <f>H12*'Cracker Yields'!$H$8+'Financial Model Eth. Fur. Add.'!H13*'Cracker Yields'!$I$8+'Financial Model Eth. Fur. Add.'!H14*'Cracker Yields'!$J$8+'Financial Model Eth. Fur. Add.'!H15*'Cracker Yields'!$K$8</f>
        <v>9845.7479999999996</v>
      </c>
      <c r="I20" s="405">
        <f>I12*'Cracker Yields'!$H$8+'Financial Model Eth. Fur. Add.'!I13*'Cracker Yields'!$I$8+'Financial Model Eth. Fur. Add.'!I14*'Cracker Yields'!$J$8+'Financial Model Eth. Fur. Add.'!I15*'Cracker Yields'!$K$8</f>
        <v>9845.7479999999996</v>
      </c>
      <c r="J20" s="405">
        <f>J12*'Cracker Yields'!$H$8+'Financial Model Eth. Fur. Add.'!J13*'Cracker Yields'!$I$8+'Financial Model Eth. Fur. Add.'!J14*'Cracker Yields'!$J$8+'Financial Model Eth. Fur. Add.'!J15*'Cracker Yields'!$K$8</f>
        <v>9845.7479999999996</v>
      </c>
      <c r="K20" s="405">
        <f>K12*'Cracker Yields'!$H$8+'Financial Model Eth. Fur. Add.'!K13*'Cracker Yields'!$I$8+'Financial Model Eth. Fur. Add.'!K14*'Cracker Yields'!$J$8+'Financial Model Eth. Fur. Add.'!K15*'Cracker Yields'!$K$8</f>
        <v>9845.7479999999996</v>
      </c>
      <c r="L20" s="405">
        <f>L12*'Cracker Yields'!$H$8+'Financial Model Eth. Fur. Add.'!L13*'Cracker Yields'!$I$8+'Financial Model Eth. Fur. Add.'!L14*'Cracker Yields'!$J$8+'Financial Model Eth. Fur. Add.'!L15*'Cracker Yields'!$K$8</f>
        <v>9845.7479999999996</v>
      </c>
      <c r="M20" s="405">
        <f>M12*'Cracker Yields'!$H$8+'Financial Model Eth. Fur. Add.'!M13*'Cracker Yields'!$I$8+'Financial Model Eth. Fur. Add.'!M14*'Cracker Yields'!$J$8+'Financial Model Eth. Fur. Add.'!M15*'Cracker Yields'!$K$8</f>
        <v>9845.7479999999996</v>
      </c>
      <c r="N20" s="405">
        <f>N12*'Cracker Yields'!$H$8+'Financial Model Eth. Fur. Add.'!N13*'Cracker Yields'!$I$8+'Financial Model Eth. Fur. Add.'!N14*'Cracker Yields'!$J$8+'Financial Model Eth. Fur. Add.'!N15*'Cracker Yields'!$K$8</f>
        <v>9845.7479999999996</v>
      </c>
      <c r="O20" s="405">
        <f>O12*'Cracker Yields'!$H$8+'Financial Model Eth. Fur. Add.'!O13*'Cracker Yields'!$I$8+'Financial Model Eth. Fur. Add.'!O14*'Cracker Yields'!$J$8+'Financial Model Eth. Fur. Add.'!O15*'Cracker Yields'!$K$8</f>
        <v>9845.7479999999996</v>
      </c>
      <c r="P20" s="405">
        <f>P12*'Cracker Yields'!$H$8+'Financial Model Eth. Fur. Add.'!P13*'Cracker Yields'!$I$8+'Financial Model Eth. Fur. Add.'!P14*'Cracker Yields'!$J$8+'Financial Model Eth. Fur. Add.'!P15*'Cracker Yields'!$K$8</f>
        <v>9845.7479999999996</v>
      </c>
      <c r="Q20" s="405">
        <f>Q12*'Cracker Yields'!$H$8+'Financial Model Eth. Fur. Add.'!Q13*'Cracker Yields'!$I$8+'Financial Model Eth. Fur. Add.'!Q14*'Cracker Yields'!$J$8+'Financial Model Eth. Fur. Add.'!Q15*'Cracker Yields'!$K$8</f>
        <v>9845.7479999999996</v>
      </c>
      <c r="R20" s="405">
        <f>R12*'Cracker Yields'!$H$8+'Financial Model Eth. Fur. Add.'!R13*'Cracker Yields'!$I$8+'Financial Model Eth. Fur. Add.'!R14*'Cracker Yields'!$J$8+'Financial Model Eth. Fur. Add.'!R15*'Cracker Yields'!$K$8</f>
        <v>9845.7479999999996</v>
      </c>
      <c r="S20" s="405">
        <f>S12*'Cracker Yields'!$H$8+'Financial Model Eth. Fur. Add.'!S13*'Cracker Yields'!$I$8+'Financial Model Eth. Fur. Add.'!S14*'Cracker Yields'!$J$8+'Financial Model Eth. Fur. Add.'!S15*'Cracker Yields'!$K$8</f>
        <v>9845.7479999999996</v>
      </c>
      <c r="T20" s="405">
        <f>T12*'Cracker Yields'!$H$8+'Financial Model Eth. Fur. Add.'!T13*'Cracker Yields'!$I$8+'Financial Model Eth. Fur. Add.'!T14*'Cracker Yields'!$J$8+'Financial Model Eth. Fur. Add.'!T15*'Cracker Yields'!$K$8</f>
        <v>9845.7479999999996</v>
      </c>
      <c r="U20" s="406">
        <f>U12*'Cracker Yields'!$H$8+'Financial Model Eth. Fur. Add.'!U13*'Cracker Yields'!$I$8+'Financial Model Eth. Fur. Add.'!U14*'Cracker Yields'!$J$8+'Financial Model Eth. Fur. Add.'!U15*'Cracker Yields'!$K$8</f>
        <v>9845.7479999999996</v>
      </c>
      <c r="V20" s="405">
        <f>V12*'Cracker Yields'!$H$8+'Financial Model Eth. Fur. Add.'!V13*'Cracker Yields'!$I$8+'Financial Model Eth. Fur. Add.'!V14*'Cracker Yields'!$J$8+'Financial Model Eth. Fur. Add.'!V15*'Cracker Yields'!$K$8</f>
        <v>9845.7479999999996</v>
      </c>
      <c r="W20" s="405">
        <f>W12*'Cracker Yields'!$H$8+'Financial Model Eth. Fur. Add.'!W13*'Cracker Yields'!$I$8+'Financial Model Eth. Fur. Add.'!W14*'Cracker Yields'!$J$8+'Financial Model Eth. Fur. Add.'!W15*'Cracker Yields'!$K$8</f>
        <v>9845.7479999999996</v>
      </c>
      <c r="X20" s="405">
        <f>X12*'Cracker Yields'!$H$8+'Financial Model Eth. Fur. Add.'!X13*'Cracker Yields'!$I$8+'Financial Model Eth. Fur. Add.'!X14*'Cracker Yields'!$J$8+'Financial Model Eth. Fur. Add.'!X15*'Cracker Yields'!$K$8</f>
        <v>9845.7479999999996</v>
      </c>
      <c r="Y20" s="405">
        <f>Y12*'Cracker Yields'!$H$8+'Financial Model Eth. Fur. Add.'!Y13*'Cracker Yields'!$I$8+'Financial Model Eth. Fur. Add.'!Y14*'Cracker Yields'!$J$8+'Financial Model Eth. Fur. Add.'!Y15*'Cracker Yields'!$K$8</f>
        <v>9845.7479999999996</v>
      </c>
      <c r="Z20" s="405">
        <f>Z12*'Cracker Yields'!$H$8+'Financial Model Eth. Fur. Add.'!Z13*'Cracker Yields'!$I$8+'Financial Model Eth. Fur. Add.'!Z14*'Cracker Yields'!$J$8+'Financial Model Eth. Fur. Add.'!Z15*'Cracker Yields'!$K$8</f>
        <v>9845.7479999999996</v>
      </c>
      <c r="AA20" s="405">
        <f>AA12*'Cracker Yields'!$H$8+'Financial Model Eth. Fur. Add.'!AA13*'Cracker Yields'!$I$8+'Financial Model Eth. Fur. Add.'!AA14*'Cracker Yields'!$J$8+'Financial Model Eth. Fur. Add.'!AA15*'Cracker Yields'!$K$8</f>
        <v>9845.7479999999996</v>
      </c>
      <c r="AB20" s="405">
        <f>AB12*'Cracker Yields'!$H$8+'Financial Model Eth. Fur. Add.'!AB13*'Cracker Yields'!$I$8+'Financial Model Eth. Fur. Add.'!AB14*'Cracker Yields'!$J$8+'Financial Model Eth. Fur. Add.'!AB15*'Cracker Yields'!$K$8</f>
        <v>9845.7479999999996</v>
      </c>
      <c r="AC20" s="405">
        <f>AC12*'Cracker Yields'!$H$8+'Financial Model Eth. Fur. Add.'!AC13*'Cracker Yields'!$I$8+'Financial Model Eth. Fur. Add.'!AC14*'Cracker Yields'!$J$8+'Financial Model Eth. Fur. Add.'!AC15*'Cracker Yields'!$K$8</f>
        <v>9845.7479999999996</v>
      </c>
      <c r="AD20" s="405">
        <f>AD12*'Cracker Yields'!$H$8+'Financial Model Eth. Fur. Add.'!AD13*'Cracker Yields'!$I$8+'Financial Model Eth. Fur. Add.'!AD14*'Cracker Yields'!$J$8+'Financial Model Eth. Fur. Add.'!AD15*'Cracker Yields'!$K$8</f>
        <v>9845.7479999999996</v>
      </c>
      <c r="AE20" s="405">
        <f>AE12*'Cracker Yields'!$H$8+'Financial Model Eth. Fur. Add.'!AE13*'Cracker Yields'!$I$8+'Financial Model Eth. Fur. Add.'!AE14*'Cracker Yields'!$J$8+'Financial Model Eth. Fur. Add.'!AE15*'Cracker Yields'!$K$8</f>
        <v>9845.7479999999996</v>
      </c>
      <c r="AF20" s="405">
        <f>AF12*'Cracker Yields'!$H$8+'Financial Model Eth. Fur. Add.'!AF13*'Cracker Yields'!$I$8+'Financial Model Eth. Fur. Add.'!AF14*'Cracker Yields'!$J$8+'Financial Model Eth. Fur. Add.'!AF15*'Cracker Yields'!$K$8</f>
        <v>9845.7479999999996</v>
      </c>
      <c r="AG20" s="405">
        <f>AG12*'Cracker Yields'!$H$8+'Financial Model Eth. Fur. Add.'!AG13*'Cracker Yields'!$I$8+'Financial Model Eth. Fur. Add.'!AG14*'Cracker Yields'!$J$8+'Financial Model Eth. Fur. Add.'!AG15*'Cracker Yields'!$K$8</f>
        <v>9845.7479999999996</v>
      </c>
      <c r="AH20" s="405">
        <f>AH12*'Cracker Yields'!$H$8+'Financial Model Eth. Fur. Add.'!AH13*'Cracker Yields'!$I$8+'Financial Model Eth. Fur. Add.'!AH14*'Cracker Yields'!$J$8+'Financial Model Eth. Fur. Add.'!AH15*'Cracker Yields'!$K$8</f>
        <v>9845.7479999999996</v>
      </c>
      <c r="AI20" s="405">
        <f>AI12*'Cracker Yields'!$H$8+'Financial Model Eth. Fur. Add.'!AI13*'Cracker Yields'!$I$8+'Financial Model Eth. Fur. Add.'!AI14*'Cracker Yields'!$J$8+'Financial Model Eth. Fur. Add.'!AI15*'Cracker Yields'!$K$8</f>
        <v>9845.7479999999996</v>
      </c>
      <c r="AJ20" s="405">
        <f>AJ12*'Cracker Yields'!$H$8+'Financial Model Eth. Fur. Add.'!AJ13*'Cracker Yields'!$I$8+'Financial Model Eth. Fur. Add.'!AJ14*'Cracker Yields'!$J$8+'Financial Model Eth. Fur. Add.'!AJ15*'Cracker Yields'!$K$8</f>
        <v>9845.7479999999996</v>
      </c>
      <c r="AK20" s="405">
        <f>AK12*'Cracker Yields'!$H$8+'Financial Model Eth. Fur. Add.'!AK13*'Cracker Yields'!$I$8+'Financial Model Eth. Fur. Add.'!AK14*'Cracker Yields'!$J$8+'Financial Model Eth. Fur. Add.'!AK15*'Cracker Yields'!$K$8</f>
        <v>9845.7479999999996</v>
      </c>
      <c r="AL20" s="405">
        <f>AL12*'Cracker Yields'!$H$8+'Financial Model Eth. Fur. Add.'!AL13*'Cracker Yields'!$I$8+'Financial Model Eth. Fur. Add.'!AL14*'Cracker Yields'!$J$8+'Financial Model Eth. Fur. Add.'!AL15*'Cracker Yields'!$K$8</f>
        <v>9845.7479999999996</v>
      </c>
      <c r="AM20" s="405">
        <f>AM12*'Cracker Yields'!$H$8+'Financial Model Eth. Fur. Add.'!AM13*'Cracker Yields'!$I$8+'Financial Model Eth. Fur. Add.'!AM14*'Cracker Yields'!$J$8+'Financial Model Eth. Fur. Add.'!AM15*'Cracker Yields'!$K$8</f>
        <v>9845.7479999999996</v>
      </c>
      <c r="AN20" s="405">
        <f>AN12*'Cracker Yields'!$H$8+'Financial Model Eth. Fur. Add.'!AN13*'Cracker Yields'!$I$8+'Financial Model Eth. Fur. Add.'!AN14*'Cracker Yields'!$J$8+'Financial Model Eth. Fur. Add.'!AN15*'Cracker Yields'!$K$8</f>
        <v>9845.7479999999996</v>
      </c>
      <c r="AO20" s="405">
        <f>AO12*'Cracker Yields'!$H$8+'Financial Model Eth. Fur. Add.'!AO13*'Cracker Yields'!$I$8+'Financial Model Eth. Fur. Add.'!AO14*'Cracker Yields'!$J$8+'Financial Model Eth. Fur. Add.'!AO15*'Cracker Yields'!$K$8</f>
        <v>9845.7479999999996</v>
      </c>
      <c r="AP20" s="405">
        <f>AP12*'Cracker Yields'!$H$8+'Financial Model Eth. Fur. Add.'!AP13*'Cracker Yields'!$I$8+'Financial Model Eth. Fur. Add.'!AP14*'Cracker Yields'!$J$8+'Financial Model Eth. Fur. Add.'!AP15*'Cracker Yields'!$K$8</f>
        <v>9845.7479999999996</v>
      </c>
      <c r="AQ20" s="405">
        <f>AQ12*'Cracker Yields'!$H$8+'Financial Model Eth. Fur. Add.'!AQ13*'Cracker Yields'!$I$8+'Financial Model Eth. Fur. Add.'!AQ14*'Cracker Yields'!$J$8+'Financial Model Eth. Fur. Add.'!AQ15*'Cracker Yields'!$K$8</f>
        <v>9845.7479999999996</v>
      </c>
      <c r="AR20" s="405">
        <f>AR12*'Cracker Yields'!$H$8+'Financial Model Eth. Fur. Add.'!AR13*'Cracker Yields'!$I$8+'Financial Model Eth. Fur. Add.'!AR14*'Cracker Yields'!$J$8+'Financial Model Eth. Fur. Add.'!AR15*'Cracker Yields'!$K$8</f>
        <v>9845.7479999999996</v>
      </c>
      <c r="AS20" s="405">
        <f>AS12*'Cracker Yields'!$H$8+'Financial Model Eth. Fur. Add.'!AS13*'Cracker Yields'!$I$8+'Financial Model Eth. Fur. Add.'!AS14*'Cracker Yields'!$J$8+'Financial Model Eth. Fur. Add.'!AS15*'Cracker Yields'!$K$8</f>
        <v>9845.7479999999996</v>
      </c>
      <c r="AT20" s="405">
        <f>AT12*'Cracker Yields'!$H$8+'Financial Model Eth. Fur. Add.'!AT13*'Cracker Yields'!$I$8+'Financial Model Eth. Fur. Add.'!AT14*'Cracker Yields'!$J$8+'Financial Model Eth. Fur. Add.'!AT15*'Cracker Yields'!$K$8</f>
        <v>9845.7479999999996</v>
      </c>
      <c r="AU20" s="405">
        <f>AU12*'Cracker Yields'!$H$8+'Financial Model Eth. Fur. Add.'!AU13*'Cracker Yields'!$I$8+'Financial Model Eth. Fur. Add.'!AU14*'Cracker Yields'!$J$8+'Financial Model Eth. Fur. Add.'!AU15*'Cracker Yields'!$K$8</f>
        <v>9845.7479999999996</v>
      </c>
      <c r="AV20" s="405">
        <f>AV12*'Cracker Yields'!$H$8+'Financial Model Eth. Fur. Add.'!AV13*'Cracker Yields'!$I$8+'Financial Model Eth. Fur. Add.'!AV14*'Cracker Yields'!$J$8+'Financial Model Eth. Fur. Add.'!AV15*'Cracker Yields'!$K$8</f>
        <v>9845.7479999999996</v>
      </c>
      <c r="AW20" s="405">
        <f>AW12*'Cracker Yields'!$H$8+'Financial Model Eth. Fur. Add.'!AW13*'Cracker Yields'!$I$8+'Financial Model Eth. Fur. Add.'!AW14*'Cracker Yields'!$J$8+'Financial Model Eth. Fur. Add.'!AW15*'Cracker Yields'!$K$8</f>
        <v>9845.7479999999996</v>
      </c>
      <c r="AX20" s="405">
        <f>AX12*'Cracker Yields'!$H$8+'Financial Model Eth. Fur. Add.'!AX13*'Cracker Yields'!$I$8+'Financial Model Eth. Fur. Add.'!AX14*'Cracker Yields'!$J$8+'Financial Model Eth. Fur. Add.'!AX15*'Cracker Yields'!$K$8</f>
        <v>9845.7479999999996</v>
      </c>
      <c r="AY20" s="405">
        <f>AY12*'Cracker Yields'!$H$8+'Financial Model Eth. Fur. Add.'!AY13*'Cracker Yields'!$I$8+'Financial Model Eth. Fur. Add.'!AY14*'Cracker Yields'!$J$8+'Financial Model Eth. Fur. Add.'!AY15*'Cracker Yields'!$K$8</f>
        <v>9845.7479999999996</v>
      </c>
      <c r="AZ20" s="406">
        <f>AZ12*'Cracker Yields'!$H$8+'Financial Model Eth. Fur. Add.'!AZ13*'Cracker Yields'!$I$8+'Financial Model Eth. Fur. Add.'!AZ14*'Cracker Yields'!$J$8+'Financial Model Eth. Fur. Add.'!AZ15*'Cracker Yields'!$K$8</f>
        <v>9845.7479999999996</v>
      </c>
      <c r="BA20" s="405">
        <f>BA12*'Cracker Yields'!$H$8+'Financial Model Eth. Fur. Add.'!BA13*'Cracker Yields'!$I$8+'Financial Model Eth. Fur. Add.'!BA14*'Cracker Yields'!$J$8+'Financial Model Eth. Fur. Add.'!BA15*'Cracker Yields'!$K$8</f>
        <v>9845.7479999999996</v>
      </c>
      <c r="BB20" s="405">
        <f>BB12*'Cracker Yields'!$H$8+'Financial Model Eth. Fur. Add.'!BB13*'Cracker Yields'!$I$8+'Financial Model Eth. Fur. Add.'!BB14*'Cracker Yields'!$J$8+'Financial Model Eth. Fur. Add.'!BB15*'Cracker Yields'!$K$8</f>
        <v>9845.7479999999996</v>
      </c>
      <c r="BC20" s="405">
        <f>BC12*'Cracker Yields'!$H$8+'Financial Model Eth. Fur. Add.'!BC13*'Cracker Yields'!$I$8+'Financial Model Eth. Fur. Add.'!BC14*'Cracker Yields'!$J$8+'Financial Model Eth. Fur. Add.'!BC15*'Cracker Yields'!$K$8</f>
        <v>9845.7479999999996</v>
      </c>
      <c r="BD20" s="405">
        <f>BD12*'Cracker Yields'!$H$8+'Financial Model Eth. Fur. Add.'!BD13*'Cracker Yields'!$I$8+'Financial Model Eth. Fur. Add.'!BD14*'Cracker Yields'!$J$8+'Financial Model Eth. Fur. Add.'!BD15*'Cracker Yields'!$K$8</f>
        <v>9845.7479999999996</v>
      </c>
      <c r="BE20" s="405">
        <f>BE12*'Cracker Yields'!$H$8+'Financial Model Eth. Fur. Add.'!BE13*'Cracker Yields'!$I$8+'Financial Model Eth. Fur. Add.'!BE14*'Cracker Yields'!$J$8+'Financial Model Eth. Fur. Add.'!BE15*'Cracker Yields'!$K$8</f>
        <v>9845.7479999999996</v>
      </c>
      <c r="BF20" s="405">
        <f>BF12*'Cracker Yields'!$H$8+'Financial Model Eth. Fur. Add.'!BF13*'Cracker Yields'!$I$8+'Financial Model Eth. Fur. Add.'!BF14*'Cracker Yields'!$J$8+'Financial Model Eth. Fur. Add.'!BF15*'Cracker Yields'!$K$8</f>
        <v>9845.7479999999996</v>
      </c>
      <c r="BG20" s="405">
        <f>BG12*'Cracker Yields'!$H$8+'Financial Model Eth. Fur. Add.'!BG13*'Cracker Yields'!$I$8+'Financial Model Eth. Fur. Add.'!BG14*'Cracker Yields'!$J$8+'Financial Model Eth. Fur. Add.'!BG15*'Cracker Yields'!$K$8</f>
        <v>9845.7479999999996</v>
      </c>
      <c r="BH20" s="405">
        <f>BH12*'Cracker Yields'!$H$8+'Financial Model Eth. Fur. Add.'!BH13*'Cracker Yields'!$I$8+'Financial Model Eth. Fur. Add.'!BH14*'Cracker Yields'!$J$8+'Financial Model Eth. Fur. Add.'!BH15*'Cracker Yields'!$K$8</f>
        <v>9845.7479999999996</v>
      </c>
      <c r="BI20" s="405">
        <f>BI12*'Cracker Yields'!$H$8+'Financial Model Eth. Fur. Add.'!BI13*'Cracker Yields'!$I$8+'Financial Model Eth. Fur. Add.'!BI14*'Cracker Yields'!$J$8+'Financial Model Eth. Fur. Add.'!BI15*'Cracker Yields'!$K$8</f>
        <v>9845.7479999999996</v>
      </c>
      <c r="BJ20" s="405">
        <f>BJ12*'Cracker Yields'!$H$8+'Financial Model Eth. Fur. Add.'!BJ13*'Cracker Yields'!$I$8+'Financial Model Eth. Fur. Add.'!BJ14*'Cracker Yields'!$J$8+'Financial Model Eth. Fur. Add.'!BJ15*'Cracker Yields'!$K$8</f>
        <v>9845.7479999999996</v>
      </c>
      <c r="BK20" s="405">
        <f>BK12*'Cracker Yields'!$H$8+'Financial Model Eth. Fur. Add.'!BK13*'Cracker Yields'!$I$8+'Financial Model Eth. Fur. Add.'!BK14*'Cracker Yields'!$J$8+'Financial Model Eth. Fur. Add.'!BK15*'Cracker Yields'!$K$8</f>
        <v>9845.7479999999996</v>
      </c>
      <c r="BL20" s="405">
        <f>BL12*'Cracker Yields'!$H$8+'Financial Model Eth. Fur. Add.'!BL13*'Cracker Yields'!$I$8+'Financial Model Eth. Fur. Add.'!BL14*'Cracker Yields'!$J$8+'Financial Model Eth. Fur. Add.'!BL15*'Cracker Yields'!$K$8</f>
        <v>9845.7479999999996</v>
      </c>
      <c r="BM20" s="405">
        <f>BM12*'Cracker Yields'!$H$8+'Financial Model Eth. Fur. Add.'!BM13*'Cracker Yields'!$I$8+'Financial Model Eth. Fur. Add.'!BM14*'Cracker Yields'!$J$8+'Financial Model Eth. Fur. Add.'!BM15*'Cracker Yields'!$K$8</f>
        <v>9845.7479999999996</v>
      </c>
      <c r="BN20" s="405">
        <f>BN12*'Cracker Yields'!$H$8+'Financial Model Eth. Fur. Add.'!BN13*'Cracker Yields'!$I$8+'Financial Model Eth. Fur. Add.'!BN14*'Cracker Yields'!$J$8+'Financial Model Eth. Fur. Add.'!BN15*'Cracker Yields'!$K$8</f>
        <v>9845.7479999999996</v>
      </c>
      <c r="BO20" s="405">
        <f>BO12*'Cracker Yields'!$H$8+'Financial Model Eth. Fur. Add.'!BO13*'Cracker Yields'!$I$8+'Financial Model Eth. Fur. Add.'!BO14*'Cracker Yields'!$J$8+'Financial Model Eth. Fur. Add.'!BO15*'Cracker Yields'!$K$8</f>
        <v>9845.7479999999996</v>
      </c>
      <c r="BP20" s="405">
        <f>BP12*'Cracker Yields'!$H$8+'Financial Model Eth. Fur. Add.'!BP13*'Cracker Yields'!$I$8+'Financial Model Eth. Fur. Add.'!BP14*'Cracker Yields'!$J$8+'Financial Model Eth. Fur. Add.'!BP15*'Cracker Yields'!$K$8</f>
        <v>9845.7479999999996</v>
      </c>
      <c r="BQ20" s="405">
        <f>BQ12*'Cracker Yields'!$H$8+'Financial Model Eth. Fur. Add.'!BQ13*'Cracker Yields'!$I$8+'Financial Model Eth. Fur. Add.'!BQ14*'Cracker Yields'!$J$8+'Financial Model Eth. Fur. Add.'!BQ15*'Cracker Yields'!$K$8</f>
        <v>9845.7479999999996</v>
      </c>
      <c r="BR20" s="405">
        <f>BR12*'Cracker Yields'!$H$8+'Financial Model Eth. Fur. Add.'!BR13*'Cracker Yields'!$I$8+'Financial Model Eth. Fur. Add.'!BR14*'Cracker Yields'!$J$8+'Financial Model Eth. Fur. Add.'!BR15*'Cracker Yields'!$K$8</f>
        <v>9845.7479999999996</v>
      </c>
      <c r="BS20" s="405">
        <f>BS12*'Cracker Yields'!$H$8+'Financial Model Eth. Fur. Add.'!BS13*'Cracker Yields'!$I$8+'Financial Model Eth. Fur. Add.'!BS14*'Cracker Yields'!$J$8+'Financial Model Eth. Fur. Add.'!BS15*'Cracker Yields'!$K$8</f>
        <v>9845.7479999999996</v>
      </c>
      <c r="BT20" s="405">
        <f>BT12*'Cracker Yields'!$H$8+'Financial Model Eth. Fur. Add.'!BT13*'Cracker Yields'!$I$8+'Financial Model Eth. Fur. Add.'!BT14*'Cracker Yields'!$J$8+'Financial Model Eth. Fur. Add.'!BT15*'Cracker Yields'!$K$8</f>
        <v>9845.7479999999996</v>
      </c>
      <c r="BU20" s="405">
        <f>BU12*'Cracker Yields'!$H$8+'Financial Model Eth. Fur. Add.'!BU13*'Cracker Yields'!$I$8+'Financial Model Eth. Fur. Add.'!BU14*'Cracker Yields'!$J$8+'Financial Model Eth. Fur. Add.'!BU15*'Cracker Yields'!$K$8</f>
        <v>9845.7479999999996</v>
      </c>
      <c r="BV20" s="405">
        <f>BV12*'Cracker Yields'!$H$8+'Financial Model Eth. Fur. Add.'!BV13*'Cracker Yields'!$I$8+'Financial Model Eth. Fur. Add.'!BV14*'Cracker Yields'!$J$8+'Financial Model Eth. Fur. Add.'!BV15*'Cracker Yields'!$K$8</f>
        <v>9845.7479999999996</v>
      </c>
      <c r="BW20" s="405">
        <f>BW12*'Cracker Yields'!$H$8+'Financial Model Eth. Fur. Add.'!BW13*'Cracker Yields'!$I$8+'Financial Model Eth. Fur. Add.'!BW14*'Cracker Yields'!$J$8+'Financial Model Eth. Fur. Add.'!BW15*'Cracker Yields'!$K$8</f>
        <v>9845.7479999999996</v>
      </c>
      <c r="BX20" s="405">
        <f>BX12*'Cracker Yields'!$H$8+'Financial Model Eth. Fur. Add.'!BX13*'Cracker Yields'!$I$8+'Financial Model Eth. Fur. Add.'!BX14*'Cracker Yields'!$J$8+'Financial Model Eth. Fur. Add.'!BX15*'Cracker Yields'!$K$8</f>
        <v>9845.7479999999996</v>
      </c>
      <c r="BY20" s="405">
        <f>BY12*'Cracker Yields'!$H$8+'Financial Model Eth. Fur. Add.'!BY13*'Cracker Yields'!$I$8+'Financial Model Eth. Fur. Add.'!BY14*'Cracker Yields'!$J$8+'Financial Model Eth. Fur. Add.'!BY15*'Cracker Yields'!$K$8</f>
        <v>9845.7479999999996</v>
      </c>
      <c r="BZ20" s="405">
        <f>BZ12*'Cracker Yields'!$H$8+'Financial Model Eth. Fur. Add.'!BZ13*'Cracker Yields'!$I$8+'Financial Model Eth. Fur. Add.'!BZ14*'Cracker Yields'!$J$8+'Financial Model Eth. Fur. Add.'!BZ15*'Cracker Yields'!$K$8</f>
        <v>9845.7479999999996</v>
      </c>
      <c r="CA20" s="405">
        <f>CA12*'Cracker Yields'!$H$8+'Financial Model Eth. Fur. Add.'!CA13*'Cracker Yields'!$I$8+'Financial Model Eth. Fur. Add.'!CA14*'Cracker Yields'!$J$8+'Financial Model Eth. Fur. Add.'!CA15*'Cracker Yields'!$K$8</f>
        <v>9845.7479999999996</v>
      </c>
      <c r="CB20" s="405">
        <f>CB12*'Cracker Yields'!$H$8+'Financial Model Eth. Fur. Add.'!CB13*'Cracker Yields'!$I$8+'Financial Model Eth. Fur. Add.'!CB14*'Cracker Yields'!$J$8+'Financial Model Eth. Fur. Add.'!CB15*'Cracker Yields'!$K$8</f>
        <v>9845.7479999999996</v>
      </c>
      <c r="CC20" s="405">
        <f>CC12*'Cracker Yields'!$H$8+'Financial Model Eth. Fur. Add.'!CC13*'Cracker Yields'!$I$8+'Financial Model Eth. Fur. Add.'!CC14*'Cracker Yields'!$J$8+'Financial Model Eth. Fur. Add.'!CC15*'Cracker Yields'!$K$8</f>
        <v>9845.7479999999996</v>
      </c>
      <c r="CD20" s="405">
        <f>CD12*'Cracker Yields'!$H$8+'Financial Model Eth. Fur. Add.'!CD13*'Cracker Yields'!$I$8+'Financial Model Eth. Fur. Add.'!CD14*'Cracker Yields'!$J$8+'Financial Model Eth. Fur. Add.'!CD15*'Cracker Yields'!$K$8</f>
        <v>9845.7479999999996</v>
      </c>
      <c r="CE20" s="405">
        <f>CE12*'Cracker Yields'!$H$8+'Financial Model Eth. Fur. Add.'!CE13*'Cracker Yields'!$I$8+'Financial Model Eth. Fur. Add.'!CE14*'Cracker Yields'!$J$8+'Financial Model Eth. Fur. Add.'!CE15*'Cracker Yields'!$K$8</f>
        <v>9845.7479999999996</v>
      </c>
      <c r="CF20" s="405">
        <f>CF12*'Cracker Yields'!$H$8+'Financial Model Eth. Fur. Add.'!CF13*'Cracker Yields'!$I$8+'Financial Model Eth. Fur. Add.'!CF14*'Cracker Yields'!$J$8+'Financial Model Eth. Fur. Add.'!CF15*'Cracker Yields'!$K$8</f>
        <v>9845.7479999999996</v>
      </c>
      <c r="CG20" s="405">
        <f>CG12*'Cracker Yields'!$H$8+'Financial Model Eth. Fur. Add.'!CG13*'Cracker Yields'!$I$8+'Financial Model Eth. Fur. Add.'!CG14*'Cracker Yields'!$J$8+'Financial Model Eth. Fur. Add.'!CG15*'Cracker Yields'!$K$8</f>
        <v>9845.7479999999996</v>
      </c>
      <c r="CH20" s="405">
        <f>CH12*'Cracker Yields'!$H$8+'Financial Model Eth. Fur. Add.'!CH13*'Cracker Yields'!$I$8+'Financial Model Eth. Fur. Add.'!CH14*'Cracker Yields'!$J$8+'Financial Model Eth. Fur. Add.'!CH15*'Cracker Yields'!$K$8</f>
        <v>9845.7479999999996</v>
      </c>
      <c r="CI20" s="405">
        <f>CI12*'Cracker Yields'!$H$8+'Financial Model Eth. Fur. Add.'!CI13*'Cracker Yields'!$I$8+'Financial Model Eth. Fur. Add.'!CI14*'Cracker Yields'!$J$8+'Financial Model Eth. Fur. Add.'!CI15*'Cracker Yields'!$K$8</f>
        <v>9845.7479999999996</v>
      </c>
      <c r="CJ20" s="405">
        <f>CJ12*'Cracker Yields'!$H$8+'Financial Model Eth. Fur. Add.'!CJ13*'Cracker Yields'!$I$8+'Financial Model Eth. Fur. Add.'!CJ14*'Cracker Yields'!$J$8+'Financial Model Eth. Fur. Add.'!CJ15*'Cracker Yields'!$K$8</f>
        <v>9845.7479999999996</v>
      </c>
      <c r="CK20" s="405">
        <f>CK12*'Cracker Yields'!$H$8+'Financial Model Eth. Fur. Add.'!CK13*'Cracker Yields'!$I$8+'Financial Model Eth. Fur. Add.'!CK14*'Cracker Yields'!$J$8+'Financial Model Eth. Fur. Add.'!CK15*'Cracker Yields'!$K$8</f>
        <v>9845.7479999999996</v>
      </c>
      <c r="CL20" s="405">
        <f>CL12*'Cracker Yields'!$H$8+'Financial Model Eth. Fur. Add.'!CL13*'Cracker Yields'!$I$8+'Financial Model Eth. Fur. Add.'!CL14*'Cracker Yields'!$J$8+'Financial Model Eth. Fur. Add.'!CL15*'Cracker Yields'!$K$8</f>
        <v>9845.7479999999996</v>
      </c>
      <c r="CM20" s="41">
        <f t="shared" si="1"/>
        <v>9845.7480000000123</v>
      </c>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row>
    <row r="21" spans="1:178">
      <c r="A21" s="1060"/>
      <c r="B21" s="2" t="s">
        <v>309</v>
      </c>
      <c r="C21" s="362" t="s">
        <v>310</v>
      </c>
      <c r="D21" s="362"/>
      <c r="E21" s="1063"/>
      <c r="F21" s="404" t="str">
        <f>F10</f>
        <v xml:space="preserve"> CBFS </v>
      </c>
      <c r="G21" s="405">
        <f>G12*'Cracker Yields'!$H$5+'Financial Model Eth. Fur. Add.'!G13*'Cracker Yields'!$I$5+'Financial Model Eth. Fur. Add.'!G14*'Cracker Yields'!$J$5+'Financial Model Eth. Fur. Add.'!G15*'Cracker Yields'!$K$5</f>
        <v>3781.75</v>
      </c>
      <c r="H21" s="405">
        <f>H12*'Cracker Yields'!$H$5+'Financial Model Eth. Fur. Add.'!H13*'Cracker Yields'!$I$5+'Financial Model Eth. Fur. Add.'!H14*'Cracker Yields'!$J$5+'Financial Model Eth. Fur. Add.'!H15*'Cracker Yields'!$K$5</f>
        <v>3781.75</v>
      </c>
      <c r="I21" s="405">
        <f>I12*'Cracker Yields'!$H$5+'Financial Model Eth. Fur. Add.'!I13*'Cracker Yields'!$I$5+'Financial Model Eth. Fur. Add.'!I14*'Cracker Yields'!$J$5+'Financial Model Eth. Fur. Add.'!I15*'Cracker Yields'!$K$5</f>
        <v>3781.75</v>
      </c>
      <c r="J21" s="405">
        <f>J12*'Cracker Yields'!$H$5+'Financial Model Eth. Fur. Add.'!J13*'Cracker Yields'!$I$5+'Financial Model Eth. Fur. Add.'!J14*'Cracker Yields'!$J$5+'Financial Model Eth. Fur. Add.'!J15*'Cracker Yields'!$K$5</f>
        <v>3781.75</v>
      </c>
      <c r="K21" s="405">
        <f>K12*'Cracker Yields'!$H$5+'Financial Model Eth. Fur. Add.'!K13*'Cracker Yields'!$I$5+'Financial Model Eth. Fur. Add.'!K14*'Cracker Yields'!$J$5+'Financial Model Eth. Fur. Add.'!K15*'Cracker Yields'!$K$5</f>
        <v>3781.75</v>
      </c>
      <c r="L21" s="405">
        <f>L12*'Cracker Yields'!$H$5+'Financial Model Eth. Fur. Add.'!L13*'Cracker Yields'!$I$5+'Financial Model Eth. Fur. Add.'!L14*'Cracker Yields'!$J$5+'Financial Model Eth. Fur. Add.'!L15*'Cracker Yields'!$K$5</f>
        <v>3781.75</v>
      </c>
      <c r="M21" s="405">
        <f>M12*'Cracker Yields'!$H$5+'Financial Model Eth. Fur. Add.'!M13*'Cracker Yields'!$I$5+'Financial Model Eth. Fur. Add.'!M14*'Cracker Yields'!$J$5+'Financial Model Eth. Fur. Add.'!M15*'Cracker Yields'!$K$5</f>
        <v>3781.75</v>
      </c>
      <c r="N21" s="405">
        <f>N12*'Cracker Yields'!$H$5+'Financial Model Eth. Fur. Add.'!N13*'Cracker Yields'!$I$5+'Financial Model Eth. Fur. Add.'!N14*'Cracker Yields'!$J$5+'Financial Model Eth. Fur. Add.'!N15*'Cracker Yields'!$K$5</f>
        <v>3781.75</v>
      </c>
      <c r="O21" s="405">
        <f>O12*'Cracker Yields'!$H$5+'Financial Model Eth. Fur. Add.'!O13*'Cracker Yields'!$I$5+'Financial Model Eth. Fur. Add.'!O14*'Cracker Yields'!$J$5+'Financial Model Eth. Fur. Add.'!O15*'Cracker Yields'!$K$5</f>
        <v>3781.75</v>
      </c>
      <c r="P21" s="405">
        <f>P12*'Cracker Yields'!$H$5+'Financial Model Eth. Fur. Add.'!P13*'Cracker Yields'!$I$5+'Financial Model Eth. Fur. Add.'!P14*'Cracker Yields'!$J$5+'Financial Model Eth. Fur. Add.'!P15*'Cracker Yields'!$K$5</f>
        <v>3781.75</v>
      </c>
      <c r="Q21" s="405">
        <f>Q12*'Cracker Yields'!$H$5+'Financial Model Eth. Fur. Add.'!Q13*'Cracker Yields'!$I$5+'Financial Model Eth. Fur. Add.'!Q14*'Cracker Yields'!$J$5+'Financial Model Eth. Fur. Add.'!Q15*'Cracker Yields'!$K$5</f>
        <v>3781.75</v>
      </c>
      <c r="R21" s="405">
        <f>R12*'Cracker Yields'!$H$5+'Financial Model Eth. Fur. Add.'!R13*'Cracker Yields'!$I$5+'Financial Model Eth. Fur. Add.'!R14*'Cracker Yields'!$J$5+'Financial Model Eth. Fur. Add.'!R15*'Cracker Yields'!$K$5</f>
        <v>3781.75</v>
      </c>
      <c r="S21" s="405">
        <f>S12*'Cracker Yields'!$H$5+'Financial Model Eth. Fur. Add.'!S13*'Cracker Yields'!$I$5+'Financial Model Eth. Fur. Add.'!S14*'Cracker Yields'!$J$5+'Financial Model Eth. Fur. Add.'!S15*'Cracker Yields'!$K$5</f>
        <v>3781.75</v>
      </c>
      <c r="T21" s="405">
        <f>T12*'Cracker Yields'!$H$5+'Financial Model Eth. Fur. Add.'!T13*'Cracker Yields'!$I$5+'Financial Model Eth. Fur. Add.'!T14*'Cracker Yields'!$J$5+'Financial Model Eth. Fur. Add.'!T15*'Cracker Yields'!$K$5</f>
        <v>3781.75</v>
      </c>
      <c r="U21" s="406">
        <f>U12*'Cracker Yields'!$H$5+'Financial Model Eth. Fur. Add.'!U13*'Cracker Yields'!$I$5+'Financial Model Eth. Fur. Add.'!U14*'Cracker Yields'!$J$5+'Financial Model Eth. Fur. Add.'!U15*'Cracker Yields'!$K$5</f>
        <v>3781.75</v>
      </c>
      <c r="V21" s="405">
        <f>V12*'Cracker Yields'!$H$5+'Financial Model Eth. Fur. Add.'!V13*'Cracker Yields'!$I$5+'Financial Model Eth. Fur. Add.'!V14*'Cracker Yields'!$J$5+'Financial Model Eth. Fur. Add.'!V15*'Cracker Yields'!$K$5</f>
        <v>3781.75</v>
      </c>
      <c r="W21" s="405">
        <f>W12*'Cracker Yields'!$H$5+'Financial Model Eth. Fur. Add.'!W13*'Cracker Yields'!$I$5+'Financial Model Eth. Fur. Add.'!W14*'Cracker Yields'!$J$5+'Financial Model Eth. Fur. Add.'!W15*'Cracker Yields'!$K$5</f>
        <v>3781.75</v>
      </c>
      <c r="X21" s="405">
        <f>X12*'Cracker Yields'!$H$5+'Financial Model Eth. Fur. Add.'!X13*'Cracker Yields'!$I$5+'Financial Model Eth. Fur. Add.'!X14*'Cracker Yields'!$J$5+'Financial Model Eth. Fur. Add.'!X15*'Cracker Yields'!$K$5</f>
        <v>3781.75</v>
      </c>
      <c r="Y21" s="405">
        <f>Y12*'Cracker Yields'!$H$5+'Financial Model Eth. Fur. Add.'!Y13*'Cracker Yields'!$I$5+'Financial Model Eth. Fur. Add.'!Y14*'Cracker Yields'!$J$5+'Financial Model Eth. Fur. Add.'!Y15*'Cracker Yields'!$K$5</f>
        <v>3781.75</v>
      </c>
      <c r="Z21" s="405">
        <f>Z12*'Cracker Yields'!$H$5+'Financial Model Eth. Fur. Add.'!Z13*'Cracker Yields'!$I$5+'Financial Model Eth. Fur. Add.'!Z14*'Cracker Yields'!$J$5+'Financial Model Eth. Fur. Add.'!Z15*'Cracker Yields'!$K$5</f>
        <v>3781.75</v>
      </c>
      <c r="AA21" s="405">
        <f>AA12*'Cracker Yields'!$H$5+'Financial Model Eth. Fur. Add.'!AA13*'Cracker Yields'!$I$5+'Financial Model Eth. Fur. Add.'!AA14*'Cracker Yields'!$J$5+'Financial Model Eth. Fur. Add.'!AA15*'Cracker Yields'!$K$5</f>
        <v>3781.75</v>
      </c>
      <c r="AB21" s="405">
        <f>AB12*'Cracker Yields'!$H$5+'Financial Model Eth. Fur. Add.'!AB13*'Cracker Yields'!$I$5+'Financial Model Eth. Fur. Add.'!AB14*'Cracker Yields'!$J$5+'Financial Model Eth. Fur. Add.'!AB15*'Cracker Yields'!$K$5</f>
        <v>3781.75</v>
      </c>
      <c r="AC21" s="405">
        <f>AC12*'Cracker Yields'!$H$5+'Financial Model Eth. Fur. Add.'!AC13*'Cracker Yields'!$I$5+'Financial Model Eth. Fur. Add.'!AC14*'Cracker Yields'!$J$5+'Financial Model Eth. Fur. Add.'!AC15*'Cracker Yields'!$K$5</f>
        <v>3781.75</v>
      </c>
      <c r="AD21" s="405">
        <f>AD12*'Cracker Yields'!$H$5+'Financial Model Eth. Fur. Add.'!AD13*'Cracker Yields'!$I$5+'Financial Model Eth. Fur. Add.'!AD14*'Cracker Yields'!$J$5+'Financial Model Eth. Fur. Add.'!AD15*'Cracker Yields'!$K$5</f>
        <v>3781.75</v>
      </c>
      <c r="AE21" s="405">
        <f>AE12*'Cracker Yields'!$H$5+'Financial Model Eth. Fur. Add.'!AE13*'Cracker Yields'!$I$5+'Financial Model Eth. Fur. Add.'!AE14*'Cracker Yields'!$J$5+'Financial Model Eth. Fur. Add.'!AE15*'Cracker Yields'!$K$5</f>
        <v>3781.75</v>
      </c>
      <c r="AF21" s="405">
        <f>AF12*'Cracker Yields'!$H$5+'Financial Model Eth. Fur. Add.'!AF13*'Cracker Yields'!$I$5+'Financial Model Eth. Fur. Add.'!AF14*'Cracker Yields'!$J$5+'Financial Model Eth. Fur. Add.'!AF15*'Cracker Yields'!$K$5</f>
        <v>3781.75</v>
      </c>
      <c r="AG21" s="405">
        <f>AG12*'Cracker Yields'!$H$5+'Financial Model Eth. Fur. Add.'!AG13*'Cracker Yields'!$I$5+'Financial Model Eth. Fur. Add.'!AG14*'Cracker Yields'!$J$5+'Financial Model Eth. Fur. Add.'!AG15*'Cracker Yields'!$K$5</f>
        <v>3781.75</v>
      </c>
      <c r="AH21" s="405">
        <f>AH12*'Cracker Yields'!$H$5+'Financial Model Eth. Fur. Add.'!AH13*'Cracker Yields'!$I$5+'Financial Model Eth. Fur. Add.'!AH14*'Cracker Yields'!$J$5+'Financial Model Eth. Fur. Add.'!AH15*'Cracker Yields'!$K$5</f>
        <v>3781.75</v>
      </c>
      <c r="AI21" s="405">
        <f>AI12*'Cracker Yields'!$H$5+'Financial Model Eth. Fur. Add.'!AI13*'Cracker Yields'!$I$5+'Financial Model Eth. Fur. Add.'!AI14*'Cracker Yields'!$J$5+'Financial Model Eth. Fur. Add.'!AI15*'Cracker Yields'!$K$5</f>
        <v>3781.75</v>
      </c>
      <c r="AJ21" s="405">
        <f>AJ12*'Cracker Yields'!$H$5+'Financial Model Eth. Fur. Add.'!AJ13*'Cracker Yields'!$I$5+'Financial Model Eth. Fur. Add.'!AJ14*'Cracker Yields'!$J$5+'Financial Model Eth. Fur. Add.'!AJ15*'Cracker Yields'!$K$5</f>
        <v>3781.75</v>
      </c>
      <c r="AK21" s="405">
        <f>AK12*'Cracker Yields'!$H$5+'Financial Model Eth. Fur. Add.'!AK13*'Cracker Yields'!$I$5+'Financial Model Eth. Fur. Add.'!AK14*'Cracker Yields'!$J$5+'Financial Model Eth. Fur. Add.'!AK15*'Cracker Yields'!$K$5</f>
        <v>3781.75</v>
      </c>
      <c r="AL21" s="405">
        <f>AL12*'Cracker Yields'!$H$5+'Financial Model Eth. Fur. Add.'!AL13*'Cracker Yields'!$I$5+'Financial Model Eth. Fur. Add.'!AL14*'Cracker Yields'!$J$5+'Financial Model Eth. Fur. Add.'!AL15*'Cracker Yields'!$K$5</f>
        <v>3781.75</v>
      </c>
      <c r="AM21" s="405">
        <f>AM12*'Cracker Yields'!$H$5+'Financial Model Eth. Fur. Add.'!AM13*'Cracker Yields'!$I$5+'Financial Model Eth. Fur. Add.'!AM14*'Cracker Yields'!$J$5+'Financial Model Eth. Fur. Add.'!AM15*'Cracker Yields'!$K$5</f>
        <v>3781.75</v>
      </c>
      <c r="AN21" s="405">
        <f>AN12*'Cracker Yields'!$H$5+'Financial Model Eth. Fur. Add.'!AN13*'Cracker Yields'!$I$5+'Financial Model Eth. Fur. Add.'!AN14*'Cracker Yields'!$J$5+'Financial Model Eth. Fur. Add.'!AN15*'Cracker Yields'!$K$5</f>
        <v>3781.75</v>
      </c>
      <c r="AO21" s="405">
        <f>AO12*'Cracker Yields'!$H$5+'Financial Model Eth. Fur. Add.'!AO13*'Cracker Yields'!$I$5+'Financial Model Eth. Fur. Add.'!AO14*'Cracker Yields'!$J$5+'Financial Model Eth. Fur. Add.'!AO15*'Cracker Yields'!$K$5</f>
        <v>3781.75</v>
      </c>
      <c r="AP21" s="405">
        <f>AP12*'Cracker Yields'!$H$5+'Financial Model Eth. Fur. Add.'!AP13*'Cracker Yields'!$I$5+'Financial Model Eth. Fur. Add.'!AP14*'Cracker Yields'!$J$5+'Financial Model Eth. Fur. Add.'!AP15*'Cracker Yields'!$K$5</f>
        <v>3781.75</v>
      </c>
      <c r="AQ21" s="405">
        <f>AQ12*'Cracker Yields'!$H$5+'Financial Model Eth. Fur. Add.'!AQ13*'Cracker Yields'!$I$5+'Financial Model Eth. Fur. Add.'!AQ14*'Cracker Yields'!$J$5+'Financial Model Eth. Fur. Add.'!AQ15*'Cracker Yields'!$K$5</f>
        <v>3781.75</v>
      </c>
      <c r="AR21" s="405">
        <f>AR12*'Cracker Yields'!$H$5+'Financial Model Eth. Fur. Add.'!AR13*'Cracker Yields'!$I$5+'Financial Model Eth. Fur. Add.'!AR14*'Cracker Yields'!$J$5+'Financial Model Eth. Fur. Add.'!AR15*'Cracker Yields'!$K$5</f>
        <v>3781.75</v>
      </c>
      <c r="AS21" s="405">
        <f>AS12*'Cracker Yields'!$H$5+'Financial Model Eth. Fur. Add.'!AS13*'Cracker Yields'!$I$5+'Financial Model Eth. Fur. Add.'!AS14*'Cracker Yields'!$J$5+'Financial Model Eth. Fur. Add.'!AS15*'Cracker Yields'!$K$5</f>
        <v>3781.75</v>
      </c>
      <c r="AT21" s="405">
        <f>AT12*'Cracker Yields'!$H$5+'Financial Model Eth. Fur. Add.'!AT13*'Cracker Yields'!$I$5+'Financial Model Eth. Fur. Add.'!AT14*'Cracker Yields'!$J$5+'Financial Model Eth. Fur. Add.'!AT15*'Cracker Yields'!$K$5</f>
        <v>3781.75</v>
      </c>
      <c r="AU21" s="405">
        <f>AU12*'Cracker Yields'!$H$5+'Financial Model Eth. Fur. Add.'!AU13*'Cracker Yields'!$I$5+'Financial Model Eth. Fur. Add.'!AU14*'Cracker Yields'!$J$5+'Financial Model Eth. Fur. Add.'!AU15*'Cracker Yields'!$K$5</f>
        <v>3781.75</v>
      </c>
      <c r="AV21" s="405">
        <f>AV12*'Cracker Yields'!$H$5+'Financial Model Eth. Fur. Add.'!AV13*'Cracker Yields'!$I$5+'Financial Model Eth. Fur. Add.'!AV14*'Cracker Yields'!$J$5+'Financial Model Eth. Fur. Add.'!AV15*'Cracker Yields'!$K$5</f>
        <v>3781.75</v>
      </c>
      <c r="AW21" s="405">
        <f>AW12*'Cracker Yields'!$H$5+'Financial Model Eth. Fur. Add.'!AW13*'Cracker Yields'!$I$5+'Financial Model Eth. Fur. Add.'!AW14*'Cracker Yields'!$J$5+'Financial Model Eth. Fur. Add.'!AW15*'Cracker Yields'!$K$5</f>
        <v>3781.75</v>
      </c>
      <c r="AX21" s="405">
        <f>AX12*'Cracker Yields'!$H$5+'Financial Model Eth. Fur. Add.'!AX13*'Cracker Yields'!$I$5+'Financial Model Eth. Fur. Add.'!AX14*'Cracker Yields'!$J$5+'Financial Model Eth. Fur. Add.'!AX15*'Cracker Yields'!$K$5</f>
        <v>3781.75</v>
      </c>
      <c r="AY21" s="405">
        <f>AY12*'Cracker Yields'!$H$5+'Financial Model Eth. Fur. Add.'!AY13*'Cracker Yields'!$I$5+'Financial Model Eth. Fur. Add.'!AY14*'Cracker Yields'!$J$5+'Financial Model Eth. Fur. Add.'!AY15*'Cracker Yields'!$K$5</f>
        <v>3781.75</v>
      </c>
      <c r="AZ21" s="406">
        <f>AZ12*'Cracker Yields'!$H$5+'Financial Model Eth. Fur. Add.'!AZ13*'Cracker Yields'!$I$5+'Financial Model Eth. Fur. Add.'!AZ14*'Cracker Yields'!$J$5+'Financial Model Eth. Fur. Add.'!AZ15*'Cracker Yields'!$K$5</f>
        <v>3781.75</v>
      </c>
      <c r="BA21" s="405">
        <f>BA12*'Cracker Yields'!$H$5+'Financial Model Eth. Fur. Add.'!BA13*'Cracker Yields'!$I$5+'Financial Model Eth. Fur. Add.'!BA14*'Cracker Yields'!$J$5+'Financial Model Eth. Fur. Add.'!BA15*'Cracker Yields'!$K$5</f>
        <v>3781.75</v>
      </c>
      <c r="BB21" s="405">
        <f>BB12*'Cracker Yields'!$H$5+'Financial Model Eth. Fur. Add.'!BB13*'Cracker Yields'!$I$5+'Financial Model Eth. Fur. Add.'!BB14*'Cracker Yields'!$J$5+'Financial Model Eth. Fur. Add.'!BB15*'Cracker Yields'!$K$5</f>
        <v>3781.75</v>
      </c>
      <c r="BC21" s="405">
        <f>BC12*'Cracker Yields'!$H$5+'Financial Model Eth. Fur. Add.'!BC13*'Cracker Yields'!$I$5+'Financial Model Eth. Fur. Add.'!BC14*'Cracker Yields'!$J$5+'Financial Model Eth. Fur. Add.'!BC15*'Cracker Yields'!$K$5</f>
        <v>3781.75</v>
      </c>
      <c r="BD21" s="405">
        <f>BD12*'Cracker Yields'!$H$5+'Financial Model Eth. Fur. Add.'!BD13*'Cracker Yields'!$I$5+'Financial Model Eth. Fur. Add.'!BD14*'Cracker Yields'!$J$5+'Financial Model Eth. Fur. Add.'!BD15*'Cracker Yields'!$K$5</f>
        <v>3781.75</v>
      </c>
      <c r="BE21" s="405">
        <f>BE12*'Cracker Yields'!$H$5+'Financial Model Eth. Fur. Add.'!BE13*'Cracker Yields'!$I$5+'Financial Model Eth. Fur. Add.'!BE14*'Cracker Yields'!$J$5+'Financial Model Eth. Fur. Add.'!BE15*'Cracker Yields'!$K$5</f>
        <v>3781.75</v>
      </c>
      <c r="BF21" s="405">
        <f>BF12*'Cracker Yields'!$H$5+'Financial Model Eth. Fur. Add.'!BF13*'Cracker Yields'!$I$5+'Financial Model Eth. Fur. Add.'!BF14*'Cracker Yields'!$J$5+'Financial Model Eth. Fur. Add.'!BF15*'Cracker Yields'!$K$5</f>
        <v>3781.75</v>
      </c>
      <c r="BG21" s="405">
        <f>BG12*'Cracker Yields'!$H$5+'Financial Model Eth. Fur. Add.'!BG13*'Cracker Yields'!$I$5+'Financial Model Eth. Fur. Add.'!BG14*'Cracker Yields'!$J$5+'Financial Model Eth. Fur. Add.'!BG15*'Cracker Yields'!$K$5</f>
        <v>3781.75</v>
      </c>
      <c r="BH21" s="405">
        <f>BH12*'Cracker Yields'!$H$5+'Financial Model Eth. Fur. Add.'!BH13*'Cracker Yields'!$I$5+'Financial Model Eth. Fur. Add.'!BH14*'Cracker Yields'!$J$5+'Financial Model Eth. Fur. Add.'!BH15*'Cracker Yields'!$K$5</f>
        <v>3781.75</v>
      </c>
      <c r="BI21" s="405">
        <f>BI12*'Cracker Yields'!$H$5+'Financial Model Eth. Fur. Add.'!BI13*'Cracker Yields'!$I$5+'Financial Model Eth. Fur. Add.'!BI14*'Cracker Yields'!$J$5+'Financial Model Eth. Fur. Add.'!BI15*'Cracker Yields'!$K$5</f>
        <v>3781.75</v>
      </c>
      <c r="BJ21" s="405">
        <f>BJ12*'Cracker Yields'!$H$5+'Financial Model Eth. Fur. Add.'!BJ13*'Cracker Yields'!$I$5+'Financial Model Eth. Fur. Add.'!BJ14*'Cracker Yields'!$J$5+'Financial Model Eth. Fur. Add.'!BJ15*'Cracker Yields'!$K$5</f>
        <v>3781.75</v>
      </c>
      <c r="BK21" s="405">
        <f>BK12*'Cracker Yields'!$H$5+'Financial Model Eth. Fur. Add.'!BK13*'Cracker Yields'!$I$5+'Financial Model Eth. Fur. Add.'!BK14*'Cracker Yields'!$J$5+'Financial Model Eth. Fur. Add.'!BK15*'Cracker Yields'!$K$5</f>
        <v>3781.75</v>
      </c>
      <c r="BL21" s="405">
        <f>BL12*'Cracker Yields'!$H$5+'Financial Model Eth. Fur. Add.'!BL13*'Cracker Yields'!$I$5+'Financial Model Eth. Fur. Add.'!BL14*'Cracker Yields'!$J$5+'Financial Model Eth. Fur. Add.'!BL15*'Cracker Yields'!$K$5</f>
        <v>3781.75</v>
      </c>
      <c r="BM21" s="405">
        <f>BM12*'Cracker Yields'!$H$5+'Financial Model Eth. Fur. Add.'!BM13*'Cracker Yields'!$I$5+'Financial Model Eth. Fur. Add.'!BM14*'Cracker Yields'!$J$5+'Financial Model Eth. Fur. Add.'!BM15*'Cracker Yields'!$K$5</f>
        <v>3781.75</v>
      </c>
      <c r="BN21" s="405">
        <f>BN12*'Cracker Yields'!$H$5+'Financial Model Eth. Fur. Add.'!BN13*'Cracker Yields'!$I$5+'Financial Model Eth. Fur. Add.'!BN14*'Cracker Yields'!$J$5+'Financial Model Eth. Fur. Add.'!BN15*'Cracker Yields'!$K$5</f>
        <v>3781.75</v>
      </c>
      <c r="BO21" s="405">
        <f>BO12*'Cracker Yields'!$H$5+'Financial Model Eth. Fur. Add.'!BO13*'Cracker Yields'!$I$5+'Financial Model Eth. Fur. Add.'!BO14*'Cracker Yields'!$J$5+'Financial Model Eth. Fur. Add.'!BO15*'Cracker Yields'!$K$5</f>
        <v>3781.75</v>
      </c>
      <c r="BP21" s="405">
        <f>BP12*'Cracker Yields'!$H$5+'Financial Model Eth. Fur. Add.'!BP13*'Cracker Yields'!$I$5+'Financial Model Eth. Fur. Add.'!BP14*'Cracker Yields'!$J$5+'Financial Model Eth. Fur. Add.'!BP15*'Cracker Yields'!$K$5</f>
        <v>3781.75</v>
      </c>
      <c r="BQ21" s="405">
        <f>BQ12*'Cracker Yields'!$H$5+'Financial Model Eth. Fur. Add.'!BQ13*'Cracker Yields'!$I$5+'Financial Model Eth. Fur. Add.'!BQ14*'Cracker Yields'!$J$5+'Financial Model Eth. Fur. Add.'!BQ15*'Cracker Yields'!$K$5</f>
        <v>3781.75</v>
      </c>
      <c r="BR21" s="405">
        <f>BR12*'Cracker Yields'!$H$5+'Financial Model Eth. Fur. Add.'!BR13*'Cracker Yields'!$I$5+'Financial Model Eth. Fur. Add.'!BR14*'Cracker Yields'!$J$5+'Financial Model Eth. Fur. Add.'!BR15*'Cracker Yields'!$K$5</f>
        <v>3781.75</v>
      </c>
      <c r="BS21" s="405">
        <f>BS12*'Cracker Yields'!$H$5+'Financial Model Eth. Fur. Add.'!BS13*'Cracker Yields'!$I$5+'Financial Model Eth. Fur. Add.'!BS14*'Cracker Yields'!$J$5+'Financial Model Eth. Fur. Add.'!BS15*'Cracker Yields'!$K$5</f>
        <v>3781.75</v>
      </c>
      <c r="BT21" s="405">
        <f>BT12*'Cracker Yields'!$H$5+'Financial Model Eth. Fur. Add.'!BT13*'Cracker Yields'!$I$5+'Financial Model Eth. Fur. Add.'!BT14*'Cracker Yields'!$J$5+'Financial Model Eth. Fur. Add.'!BT15*'Cracker Yields'!$K$5</f>
        <v>3781.75</v>
      </c>
      <c r="BU21" s="405">
        <f>BU12*'Cracker Yields'!$H$5+'Financial Model Eth. Fur. Add.'!BU13*'Cracker Yields'!$I$5+'Financial Model Eth. Fur. Add.'!BU14*'Cracker Yields'!$J$5+'Financial Model Eth. Fur. Add.'!BU15*'Cracker Yields'!$K$5</f>
        <v>3781.75</v>
      </c>
      <c r="BV21" s="405">
        <f>BV12*'Cracker Yields'!$H$5+'Financial Model Eth. Fur. Add.'!BV13*'Cracker Yields'!$I$5+'Financial Model Eth. Fur. Add.'!BV14*'Cracker Yields'!$J$5+'Financial Model Eth. Fur. Add.'!BV15*'Cracker Yields'!$K$5</f>
        <v>3781.75</v>
      </c>
      <c r="BW21" s="405">
        <f>BW12*'Cracker Yields'!$H$5+'Financial Model Eth. Fur. Add.'!BW13*'Cracker Yields'!$I$5+'Financial Model Eth. Fur. Add.'!BW14*'Cracker Yields'!$J$5+'Financial Model Eth. Fur. Add.'!BW15*'Cracker Yields'!$K$5</f>
        <v>3781.75</v>
      </c>
      <c r="BX21" s="405">
        <f>BX12*'Cracker Yields'!$H$5+'Financial Model Eth. Fur. Add.'!BX13*'Cracker Yields'!$I$5+'Financial Model Eth. Fur. Add.'!BX14*'Cracker Yields'!$J$5+'Financial Model Eth. Fur. Add.'!BX15*'Cracker Yields'!$K$5</f>
        <v>3781.75</v>
      </c>
      <c r="BY21" s="405">
        <f>BY12*'Cracker Yields'!$H$5+'Financial Model Eth. Fur. Add.'!BY13*'Cracker Yields'!$I$5+'Financial Model Eth. Fur. Add.'!BY14*'Cracker Yields'!$J$5+'Financial Model Eth. Fur. Add.'!BY15*'Cracker Yields'!$K$5</f>
        <v>3781.75</v>
      </c>
      <c r="BZ21" s="405">
        <f>BZ12*'Cracker Yields'!$H$5+'Financial Model Eth. Fur. Add.'!BZ13*'Cracker Yields'!$I$5+'Financial Model Eth. Fur. Add.'!BZ14*'Cracker Yields'!$J$5+'Financial Model Eth. Fur. Add.'!BZ15*'Cracker Yields'!$K$5</f>
        <v>3781.75</v>
      </c>
      <c r="CA21" s="405">
        <f>CA12*'Cracker Yields'!$H$5+'Financial Model Eth. Fur. Add.'!CA13*'Cracker Yields'!$I$5+'Financial Model Eth. Fur. Add.'!CA14*'Cracker Yields'!$J$5+'Financial Model Eth. Fur. Add.'!CA15*'Cracker Yields'!$K$5</f>
        <v>3781.75</v>
      </c>
      <c r="CB21" s="405">
        <f>CB12*'Cracker Yields'!$H$5+'Financial Model Eth. Fur. Add.'!CB13*'Cracker Yields'!$I$5+'Financial Model Eth. Fur. Add.'!CB14*'Cracker Yields'!$J$5+'Financial Model Eth. Fur. Add.'!CB15*'Cracker Yields'!$K$5</f>
        <v>3781.75</v>
      </c>
      <c r="CC21" s="405">
        <f>CC12*'Cracker Yields'!$H$5+'Financial Model Eth. Fur. Add.'!CC13*'Cracker Yields'!$I$5+'Financial Model Eth. Fur. Add.'!CC14*'Cracker Yields'!$J$5+'Financial Model Eth. Fur. Add.'!CC15*'Cracker Yields'!$K$5</f>
        <v>3781.75</v>
      </c>
      <c r="CD21" s="405">
        <f>CD12*'Cracker Yields'!$H$5+'Financial Model Eth. Fur. Add.'!CD13*'Cracker Yields'!$I$5+'Financial Model Eth. Fur. Add.'!CD14*'Cracker Yields'!$J$5+'Financial Model Eth. Fur. Add.'!CD15*'Cracker Yields'!$K$5</f>
        <v>3781.75</v>
      </c>
      <c r="CE21" s="405">
        <f>CE12*'Cracker Yields'!$H$5+'Financial Model Eth. Fur. Add.'!CE13*'Cracker Yields'!$I$5+'Financial Model Eth. Fur. Add.'!CE14*'Cracker Yields'!$J$5+'Financial Model Eth. Fur. Add.'!CE15*'Cracker Yields'!$K$5</f>
        <v>3781.75</v>
      </c>
      <c r="CF21" s="405">
        <f>CF12*'Cracker Yields'!$H$5+'Financial Model Eth. Fur. Add.'!CF13*'Cracker Yields'!$I$5+'Financial Model Eth. Fur. Add.'!CF14*'Cracker Yields'!$J$5+'Financial Model Eth. Fur. Add.'!CF15*'Cracker Yields'!$K$5</f>
        <v>3781.75</v>
      </c>
      <c r="CG21" s="405">
        <f>CG12*'Cracker Yields'!$H$5+'Financial Model Eth. Fur. Add.'!CG13*'Cracker Yields'!$I$5+'Financial Model Eth. Fur. Add.'!CG14*'Cracker Yields'!$J$5+'Financial Model Eth. Fur. Add.'!CG15*'Cracker Yields'!$K$5</f>
        <v>3781.75</v>
      </c>
      <c r="CH21" s="405">
        <f>CH12*'Cracker Yields'!$H$5+'Financial Model Eth. Fur. Add.'!CH13*'Cracker Yields'!$I$5+'Financial Model Eth. Fur. Add.'!CH14*'Cracker Yields'!$J$5+'Financial Model Eth. Fur. Add.'!CH15*'Cracker Yields'!$K$5</f>
        <v>3781.75</v>
      </c>
      <c r="CI21" s="405">
        <f>CI12*'Cracker Yields'!$H$5+'Financial Model Eth. Fur. Add.'!CI13*'Cracker Yields'!$I$5+'Financial Model Eth. Fur. Add.'!CI14*'Cracker Yields'!$J$5+'Financial Model Eth. Fur. Add.'!CI15*'Cracker Yields'!$K$5</f>
        <v>3781.75</v>
      </c>
      <c r="CJ21" s="405">
        <f>CJ12*'Cracker Yields'!$H$5+'Financial Model Eth. Fur. Add.'!CJ13*'Cracker Yields'!$I$5+'Financial Model Eth. Fur. Add.'!CJ14*'Cracker Yields'!$J$5+'Financial Model Eth. Fur. Add.'!CJ15*'Cracker Yields'!$K$5</f>
        <v>3781.75</v>
      </c>
      <c r="CK21" s="405">
        <f>CK12*'Cracker Yields'!$H$5+'Financial Model Eth. Fur. Add.'!CK13*'Cracker Yields'!$I$5+'Financial Model Eth. Fur. Add.'!CK14*'Cracker Yields'!$J$5+'Financial Model Eth. Fur. Add.'!CK15*'Cracker Yields'!$K$5</f>
        <v>3781.75</v>
      </c>
      <c r="CL21" s="405">
        <f>CL12*'Cracker Yields'!$H$5+'Financial Model Eth. Fur. Add.'!CL13*'Cracker Yields'!$I$5+'Financial Model Eth. Fur. Add.'!CL14*'Cracker Yields'!$J$5+'Financial Model Eth. Fur. Add.'!CL15*'Cracker Yields'!$K$5</f>
        <v>3781.75</v>
      </c>
      <c r="CM21" s="41">
        <f t="shared" si="1"/>
        <v>3781.75</v>
      </c>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row>
    <row r="22" spans="1:178">
      <c r="A22" s="1061"/>
      <c r="B22" s="224" t="s">
        <v>309</v>
      </c>
      <c r="C22" s="367" t="s">
        <v>310</v>
      </c>
      <c r="D22" s="367"/>
      <c r="E22" s="1064"/>
      <c r="F22" s="407" t="str">
        <f>F11</f>
        <v xml:space="preserve"> C9+   </v>
      </c>
      <c r="G22" s="408">
        <f>G12*'Cracker Yields'!$H$11+'Financial Model Eth. Fur. Add.'!G13*'Cracker Yields'!$I$11+'Financial Model Eth. Fur. Add.'!G14*'Cracker Yields'!$J$11+'Financial Model Eth. Fur. Add.'!G15*'Cracker Yields'!$K$11</f>
        <v>1772.2346400000001</v>
      </c>
      <c r="H22" s="408">
        <f>H12*'Cracker Yields'!$H$11+'Financial Model Eth. Fur. Add.'!H13*'Cracker Yields'!$I$11+'Financial Model Eth. Fur. Add.'!H14*'Cracker Yields'!$J$11+'Financial Model Eth. Fur. Add.'!H15*'Cracker Yields'!$K$11</f>
        <v>1772.2346400000001</v>
      </c>
      <c r="I22" s="408">
        <f>I12*'Cracker Yields'!$H$11+'Financial Model Eth. Fur. Add.'!I13*'Cracker Yields'!$I$11+'Financial Model Eth. Fur. Add.'!I14*'Cracker Yields'!$J$11+'Financial Model Eth. Fur. Add.'!I15*'Cracker Yields'!$K$11</f>
        <v>1772.2346400000001</v>
      </c>
      <c r="J22" s="408">
        <f>J12*'Cracker Yields'!$H$11+'Financial Model Eth. Fur. Add.'!J13*'Cracker Yields'!$I$11+'Financial Model Eth. Fur. Add.'!J14*'Cracker Yields'!$J$11+'Financial Model Eth. Fur. Add.'!J15*'Cracker Yields'!$K$11</f>
        <v>1772.2346400000001</v>
      </c>
      <c r="K22" s="408">
        <f>K12*'Cracker Yields'!$H$11+'Financial Model Eth. Fur. Add.'!K13*'Cracker Yields'!$I$11+'Financial Model Eth. Fur. Add.'!K14*'Cracker Yields'!$J$11+'Financial Model Eth. Fur. Add.'!K15*'Cracker Yields'!$K$11</f>
        <v>1772.2346400000001</v>
      </c>
      <c r="L22" s="408">
        <f>L12*'Cracker Yields'!$H$11+'Financial Model Eth. Fur. Add.'!L13*'Cracker Yields'!$I$11+'Financial Model Eth. Fur. Add.'!L14*'Cracker Yields'!$J$11+'Financial Model Eth. Fur. Add.'!L15*'Cracker Yields'!$K$11</f>
        <v>1772.2346400000001</v>
      </c>
      <c r="M22" s="408">
        <f>M12*'Cracker Yields'!$H$11+'Financial Model Eth. Fur. Add.'!M13*'Cracker Yields'!$I$11+'Financial Model Eth. Fur. Add.'!M14*'Cracker Yields'!$J$11+'Financial Model Eth. Fur. Add.'!M15*'Cracker Yields'!$K$11</f>
        <v>1772.2346400000001</v>
      </c>
      <c r="N22" s="408">
        <f>N12*'Cracker Yields'!$H$11+'Financial Model Eth. Fur. Add.'!N13*'Cracker Yields'!$I$11+'Financial Model Eth. Fur. Add.'!N14*'Cracker Yields'!$J$11+'Financial Model Eth. Fur. Add.'!N15*'Cracker Yields'!$K$11</f>
        <v>1772.2346400000001</v>
      </c>
      <c r="O22" s="408">
        <f>O12*'Cracker Yields'!$H$11+'Financial Model Eth. Fur. Add.'!O13*'Cracker Yields'!$I$11+'Financial Model Eth. Fur. Add.'!O14*'Cracker Yields'!$J$11+'Financial Model Eth. Fur. Add.'!O15*'Cracker Yields'!$K$11</f>
        <v>1772.2346400000001</v>
      </c>
      <c r="P22" s="408">
        <f>P12*'Cracker Yields'!$H$11+'Financial Model Eth. Fur. Add.'!P13*'Cracker Yields'!$I$11+'Financial Model Eth. Fur. Add.'!P14*'Cracker Yields'!$J$11+'Financial Model Eth. Fur. Add.'!P15*'Cracker Yields'!$K$11</f>
        <v>1772.2346400000001</v>
      </c>
      <c r="Q22" s="408">
        <f>Q12*'Cracker Yields'!$H$11+'Financial Model Eth. Fur. Add.'!Q13*'Cracker Yields'!$I$11+'Financial Model Eth. Fur. Add.'!Q14*'Cracker Yields'!$J$11+'Financial Model Eth. Fur. Add.'!Q15*'Cracker Yields'!$K$11</f>
        <v>1772.2346400000001</v>
      </c>
      <c r="R22" s="408">
        <f>R12*'Cracker Yields'!$H$11+'Financial Model Eth. Fur. Add.'!R13*'Cracker Yields'!$I$11+'Financial Model Eth. Fur. Add.'!R14*'Cracker Yields'!$J$11+'Financial Model Eth. Fur. Add.'!R15*'Cracker Yields'!$K$11</f>
        <v>1772.2346400000001</v>
      </c>
      <c r="S22" s="408">
        <f>S12*'Cracker Yields'!$H$11+'Financial Model Eth. Fur. Add.'!S13*'Cracker Yields'!$I$11+'Financial Model Eth. Fur. Add.'!S14*'Cracker Yields'!$J$11+'Financial Model Eth. Fur. Add.'!S15*'Cracker Yields'!$K$11</f>
        <v>1772.2346400000001</v>
      </c>
      <c r="T22" s="408">
        <f>T12*'Cracker Yields'!$H$11+'Financial Model Eth. Fur. Add.'!T13*'Cracker Yields'!$I$11+'Financial Model Eth. Fur. Add.'!T14*'Cracker Yields'!$J$11+'Financial Model Eth. Fur. Add.'!T15*'Cracker Yields'!$K$11</f>
        <v>1772.2346400000001</v>
      </c>
      <c r="U22" s="409">
        <f>U12*'Cracker Yields'!$H$11+'Financial Model Eth. Fur. Add.'!U13*'Cracker Yields'!$I$11+'Financial Model Eth. Fur. Add.'!U14*'Cracker Yields'!$J$11+'Financial Model Eth. Fur. Add.'!U15*'Cracker Yields'!$K$11</f>
        <v>1772.2346400000001</v>
      </c>
      <c r="V22" s="408">
        <f>V12*'Cracker Yields'!$H$11+'Financial Model Eth. Fur. Add.'!V13*'Cracker Yields'!$I$11+'Financial Model Eth. Fur. Add.'!V14*'Cracker Yields'!$J$11+'Financial Model Eth. Fur. Add.'!V15*'Cracker Yields'!$K$11</f>
        <v>1772.2346400000001</v>
      </c>
      <c r="W22" s="408">
        <f>W12*'Cracker Yields'!$H$11+'Financial Model Eth. Fur. Add.'!W13*'Cracker Yields'!$I$11+'Financial Model Eth. Fur. Add.'!W14*'Cracker Yields'!$J$11+'Financial Model Eth. Fur. Add.'!W15*'Cracker Yields'!$K$11</f>
        <v>1772.2346400000001</v>
      </c>
      <c r="X22" s="408">
        <f>X12*'Cracker Yields'!$H$11+'Financial Model Eth. Fur. Add.'!X13*'Cracker Yields'!$I$11+'Financial Model Eth. Fur. Add.'!X14*'Cracker Yields'!$J$11+'Financial Model Eth. Fur. Add.'!X15*'Cracker Yields'!$K$11</f>
        <v>1772.2346400000001</v>
      </c>
      <c r="Y22" s="408">
        <f>Y12*'Cracker Yields'!$H$11+'Financial Model Eth. Fur. Add.'!Y13*'Cracker Yields'!$I$11+'Financial Model Eth. Fur. Add.'!Y14*'Cracker Yields'!$J$11+'Financial Model Eth. Fur. Add.'!Y15*'Cracker Yields'!$K$11</f>
        <v>1772.2346400000001</v>
      </c>
      <c r="Z22" s="408">
        <f>Z12*'Cracker Yields'!$H$11+'Financial Model Eth. Fur. Add.'!Z13*'Cracker Yields'!$I$11+'Financial Model Eth. Fur. Add.'!Z14*'Cracker Yields'!$J$11+'Financial Model Eth. Fur. Add.'!Z15*'Cracker Yields'!$K$11</f>
        <v>1772.2346400000001</v>
      </c>
      <c r="AA22" s="408">
        <f>AA12*'Cracker Yields'!$H$11+'Financial Model Eth. Fur. Add.'!AA13*'Cracker Yields'!$I$11+'Financial Model Eth. Fur. Add.'!AA14*'Cracker Yields'!$J$11+'Financial Model Eth. Fur. Add.'!AA15*'Cracker Yields'!$K$11</f>
        <v>1772.2346400000001</v>
      </c>
      <c r="AB22" s="408">
        <f>AB12*'Cracker Yields'!$H$11+'Financial Model Eth. Fur. Add.'!AB13*'Cracker Yields'!$I$11+'Financial Model Eth. Fur. Add.'!AB14*'Cracker Yields'!$J$11+'Financial Model Eth. Fur. Add.'!AB15*'Cracker Yields'!$K$11</f>
        <v>1772.2346400000001</v>
      </c>
      <c r="AC22" s="408">
        <f>AC12*'Cracker Yields'!$H$11+'Financial Model Eth. Fur. Add.'!AC13*'Cracker Yields'!$I$11+'Financial Model Eth. Fur. Add.'!AC14*'Cracker Yields'!$J$11+'Financial Model Eth. Fur. Add.'!AC15*'Cracker Yields'!$K$11</f>
        <v>1772.2346400000001</v>
      </c>
      <c r="AD22" s="408">
        <f>AD12*'Cracker Yields'!$H$11+'Financial Model Eth. Fur. Add.'!AD13*'Cracker Yields'!$I$11+'Financial Model Eth. Fur. Add.'!AD14*'Cracker Yields'!$J$11+'Financial Model Eth. Fur. Add.'!AD15*'Cracker Yields'!$K$11</f>
        <v>1772.2346400000001</v>
      </c>
      <c r="AE22" s="408">
        <f>AE12*'Cracker Yields'!$H$11+'Financial Model Eth. Fur. Add.'!AE13*'Cracker Yields'!$I$11+'Financial Model Eth. Fur. Add.'!AE14*'Cracker Yields'!$J$11+'Financial Model Eth. Fur. Add.'!AE15*'Cracker Yields'!$K$11</f>
        <v>1772.2346400000001</v>
      </c>
      <c r="AF22" s="408">
        <f>AF12*'Cracker Yields'!$H$11+'Financial Model Eth. Fur. Add.'!AF13*'Cracker Yields'!$I$11+'Financial Model Eth. Fur. Add.'!AF14*'Cracker Yields'!$J$11+'Financial Model Eth. Fur. Add.'!AF15*'Cracker Yields'!$K$11</f>
        <v>1772.2346400000001</v>
      </c>
      <c r="AG22" s="408">
        <f>AG12*'Cracker Yields'!$H$11+'Financial Model Eth. Fur. Add.'!AG13*'Cracker Yields'!$I$11+'Financial Model Eth. Fur. Add.'!AG14*'Cracker Yields'!$J$11+'Financial Model Eth. Fur. Add.'!AG15*'Cracker Yields'!$K$11</f>
        <v>1772.2346400000001</v>
      </c>
      <c r="AH22" s="408">
        <f>AH12*'Cracker Yields'!$H$11+'Financial Model Eth. Fur. Add.'!AH13*'Cracker Yields'!$I$11+'Financial Model Eth. Fur. Add.'!AH14*'Cracker Yields'!$J$11+'Financial Model Eth. Fur. Add.'!AH15*'Cracker Yields'!$K$11</f>
        <v>1772.2346400000001</v>
      </c>
      <c r="AI22" s="408">
        <f>AI12*'Cracker Yields'!$H$11+'Financial Model Eth. Fur. Add.'!AI13*'Cracker Yields'!$I$11+'Financial Model Eth. Fur. Add.'!AI14*'Cracker Yields'!$J$11+'Financial Model Eth. Fur. Add.'!AI15*'Cracker Yields'!$K$11</f>
        <v>1772.2346400000001</v>
      </c>
      <c r="AJ22" s="408">
        <f>AJ12*'Cracker Yields'!$H$11+'Financial Model Eth. Fur. Add.'!AJ13*'Cracker Yields'!$I$11+'Financial Model Eth. Fur. Add.'!AJ14*'Cracker Yields'!$J$11+'Financial Model Eth. Fur. Add.'!AJ15*'Cracker Yields'!$K$11</f>
        <v>1772.2346400000001</v>
      </c>
      <c r="AK22" s="408">
        <f>AK12*'Cracker Yields'!$H$11+'Financial Model Eth. Fur. Add.'!AK13*'Cracker Yields'!$I$11+'Financial Model Eth. Fur. Add.'!AK14*'Cracker Yields'!$J$11+'Financial Model Eth. Fur. Add.'!AK15*'Cracker Yields'!$K$11</f>
        <v>1772.2346400000001</v>
      </c>
      <c r="AL22" s="408">
        <f>AL12*'Cracker Yields'!$H$11+'Financial Model Eth. Fur. Add.'!AL13*'Cracker Yields'!$I$11+'Financial Model Eth. Fur. Add.'!AL14*'Cracker Yields'!$J$11+'Financial Model Eth. Fur. Add.'!AL15*'Cracker Yields'!$K$11</f>
        <v>1772.2346400000001</v>
      </c>
      <c r="AM22" s="408">
        <f>AM12*'Cracker Yields'!$H$11+'Financial Model Eth. Fur. Add.'!AM13*'Cracker Yields'!$I$11+'Financial Model Eth. Fur. Add.'!AM14*'Cracker Yields'!$J$11+'Financial Model Eth. Fur. Add.'!AM15*'Cracker Yields'!$K$11</f>
        <v>1772.2346400000001</v>
      </c>
      <c r="AN22" s="408">
        <f>AN12*'Cracker Yields'!$H$11+'Financial Model Eth. Fur. Add.'!AN13*'Cracker Yields'!$I$11+'Financial Model Eth. Fur. Add.'!AN14*'Cracker Yields'!$J$11+'Financial Model Eth. Fur. Add.'!AN15*'Cracker Yields'!$K$11</f>
        <v>1772.2346400000001</v>
      </c>
      <c r="AO22" s="408">
        <f>AO12*'Cracker Yields'!$H$11+'Financial Model Eth. Fur. Add.'!AO13*'Cracker Yields'!$I$11+'Financial Model Eth. Fur. Add.'!AO14*'Cracker Yields'!$J$11+'Financial Model Eth. Fur. Add.'!AO15*'Cracker Yields'!$K$11</f>
        <v>1772.2346400000001</v>
      </c>
      <c r="AP22" s="408">
        <f>AP12*'Cracker Yields'!$H$11+'Financial Model Eth. Fur. Add.'!AP13*'Cracker Yields'!$I$11+'Financial Model Eth. Fur. Add.'!AP14*'Cracker Yields'!$J$11+'Financial Model Eth. Fur. Add.'!AP15*'Cracker Yields'!$K$11</f>
        <v>1772.2346400000001</v>
      </c>
      <c r="AQ22" s="408">
        <f>AQ12*'Cracker Yields'!$H$11+'Financial Model Eth. Fur. Add.'!AQ13*'Cracker Yields'!$I$11+'Financial Model Eth. Fur. Add.'!AQ14*'Cracker Yields'!$J$11+'Financial Model Eth. Fur. Add.'!AQ15*'Cracker Yields'!$K$11</f>
        <v>1772.2346400000001</v>
      </c>
      <c r="AR22" s="408">
        <f>AR12*'Cracker Yields'!$H$11+'Financial Model Eth. Fur. Add.'!AR13*'Cracker Yields'!$I$11+'Financial Model Eth. Fur. Add.'!AR14*'Cracker Yields'!$J$11+'Financial Model Eth. Fur. Add.'!AR15*'Cracker Yields'!$K$11</f>
        <v>1772.2346400000001</v>
      </c>
      <c r="AS22" s="408">
        <f>AS12*'Cracker Yields'!$H$11+'Financial Model Eth. Fur. Add.'!AS13*'Cracker Yields'!$I$11+'Financial Model Eth. Fur. Add.'!AS14*'Cracker Yields'!$J$11+'Financial Model Eth. Fur. Add.'!AS15*'Cracker Yields'!$K$11</f>
        <v>1772.2346400000001</v>
      </c>
      <c r="AT22" s="408">
        <f>AT12*'Cracker Yields'!$H$11+'Financial Model Eth. Fur. Add.'!AT13*'Cracker Yields'!$I$11+'Financial Model Eth. Fur. Add.'!AT14*'Cracker Yields'!$J$11+'Financial Model Eth. Fur. Add.'!AT15*'Cracker Yields'!$K$11</f>
        <v>1772.2346400000001</v>
      </c>
      <c r="AU22" s="408">
        <f>AU12*'Cracker Yields'!$H$11+'Financial Model Eth. Fur. Add.'!AU13*'Cracker Yields'!$I$11+'Financial Model Eth. Fur. Add.'!AU14*'Cracker Yields'!$J$11+'Financial Model Eth. Fur. Add.'!AU15*'Cracker Yields'!$K$11</f>
        <v>1772.2346400000001</v>
      </c>
      <c r="AV22" s="408">
        <f>AV12*'Cracker Yields'!$H$11+'Financial Model Eth. Fur. Add.'!AV13*'Cracker Yields'!$I$11+'Financial Model Eth. Fur. Add.'!AV14*'Cracker Yields'!$J$11+'Financial Model Eth. Fur. Add.'!AV15*'Cracker Yields'!$K$11</f>
        <v>1772.2346400000001</v>
      </c>
      <c r="AW22" s="408">
        <f>AW12*'Cracker Yields'!$H$11+'Financial Model Eth. Fur. Add.'!AW13*'Cracker Yields'!$I$11+'Financial Model Eth. Fur. Add.'!AW14*'Cracker Yields'!$J$11+'Financial Model Eth. Fur. Add.'!AW15*'Cracker Yields'!$K$11</f>
        <v>1772.2346400000001</v>
      </c>
      <c r="AX22" s="408">
        <f>AX12*'Cracker Yields'!$H$11+'Financial Model Eth. Fur. Add.'!AX13*'Cracker Yields'!$I$11+'Financial Model Eth. Fur. Add.'!AX14*'Cracker Yields'!$J$11+'Financial Model Eth. Fur. Add.'!AX15*'Cracker Yields'!$K$11</f>
        <v>1772.2346400000001</v>
      </c>
      <c r="AY22" s="408">
        <f>AY12*'Cracker Yields'!$H$11+'Financial Model Eth. Fur. Add.'!AY13*'Cracker Yields'!$I$11+'Financial Model Eth. Fur. Add.'!AY14*'Cracker Yields'!$J$11+'Financial Model Eth. Fur. Add.'!AY15*'Cracker Yields'!$K$11</f>
        <v>1772.2346400000001</v>
      </c>
      <c r="AZ22" s="409">
        <f>AZ12*'Cracker Yields'!$H$11+'Financial Model Eth. Fur. Add.'!AZ13*'Cracker Yields'!$I$11+'Financial Model Eth. Fur. Add.'!AZ14*'Cracker Yields'!$J$11+'Financial Model Eth. Fur. Add.'!AZ15*'Cracker Yields'!$K$11</f>
        <v>1772.2346400000001</v>
      </c>
      <c r="BA22" s="408">
        <f>BA12*'Cracker Yields'!$H$11+'Financial Model Eth. Fur. Add.'!BA13*'Cracker Yields'!$I$11+'Financial Model Eth. Fur. Add.'!BA14*'Cracker Yields'!$J$11+'Financial Model Eth. Fur. Add.'!BA15*'Cracker Yields'!$K$11</f>
        <v>1772.2346400000001</v>
      </c>
      <c r="BB22" s="408">
        <f>BB12*'Cracker Yields'!$H$11+'Financial Model Eth. Fur. Add.'!BB13*'Cracker Yields'!$I$11+'Financial Model Eth. Fur. Add.'!BB14*'Cracker Yields'!$J$11+'Financial Model Eth. Fur. Add.'!BB15*'Cracker Yields'!$K$11</f>
        <v>1772.2346400000001</v>
      </c>
      <c r="BC22" s="408">
        <f>BC12*'Cracker Yields'!$H$11+'Financial Model Eth. Fur. Add.'!BC13*'Cracker Yields'!$I$11+'Financial Model Eth. Fur. Add.'!BC14*'Cracker Yields'!$J$11+'Financial Model Eth. Fur. Add.'!BC15*'Cracker Yields'!$K$11</f>
        <v>1772.2346400000001</v>
      </c>
      <c r="BD22" s="408">
        <f>BD12*'Cracker Yields'!$H$11+'Financial Model Eth. Fur. Add.'!BD13*'Cracker Yields'!$I$11+'Financial Model Eth. Fur. Add.'!BD14*'Cracker Yields'!$J$11+'Financial Model Eth. Fur. Add.'!BD15*'Cracker Yields'!$K$11</f>
        <v>1772.2346400000001</v>
      </c>
      <c r="BE22" s="408">
        <f>BE12*'Cracker Yields'!$H$11+'Financial Model Eth. Fur. Add.'!BE13*'Cracker Yields'!$I$11+'Financial Model Eth. Fur. Add.'!BE14*'Cracker Yields'!$J$11+'Financial Model Eth. Fur. Add.'!BE15*'Cracker Yields'!$K$11</f>
        <v>1772.2346400000001</v>
      </c>
      <c r="BF22" s="408">
        <f>BF12*'Cracker Yields'!$H$11+'Financial Model Eth. Fur. Add.'!BF13*'Cracker Yields'!$I$11+'Financial Model Eth. Fur. Add.'!BF14*'Cracker Yields'!$J$11+'Financial Model Eth. Fur. Add.'!BF15*'Cracker Yields'!$K$11</f>
        <v>1772.2346400000001</v>
      </c>
      <c r="BG22" s="408">
        <f>BG12*'Cracker Yields'!$H$11+'Financial Model Eth. Fur. Add.'!BG13*'Cracker Yields'!$I$11+'Financial Model Eth. Fur. Add.'!BG14*'Cracker Yields'!$J$11+'Financial Model Eth. Fur. Add.'!BG15*'Cracker Yields'!$K$11</f>
        <v>1772.2346400000001</v>
      </c>
      <c r="BH22" s="408">
        <f>BH12*'Cracker Yields'!$H$11+'Financial Model Eth. Fur. Add.'!BH13*'Cracker Yields'!$I$11+'Financial Model Eth. Fur. Add.'!BH14*'Cracker Yields'!$J$11+'Financial Model Eth. Fur. Add.'!BH15*'Cracker Yields'!$K$11</f>
        <v>1772.2346400000001</v>
      </c>
      <c r="BI22" s="408">
        <f>BI12*'Cracker Yields'!$H$11+'Financial Model Eth. Fur. Add.'!BI13*'Cracker Yields'!$I$11+'Financial Model Eth. Fur. Add.'!BI14*'Cracker Yields'!$J$11+'Financial Model Eth. Fur. Add.'!BI15*'Cracker Yields'!$K$11</f>
        <v>1772.2346400000001</v>
      </c>
      <c r="BJ22" s="408">
        <f>BJ12*'Cracker Yields'!$H$11+'Financial Model Eth. Fur. Add.'!BJ13*'Cracker Yields'!$I$11+'Financial Model Eth. Fur. Add.'!BJ14*'Cracker Yields'!$J$11+'Financial Model Eth. Fur. Add.'!BJ15*'Cracker Yields'!$K$11</f>
        <v>1772.2346400000001</v>
      </c>
      <c r="BK22" s="408">
        <f>BK12*'Cracker Yields'!$H$11+'Financial Model Eth. Fur. Add.'!BK13*'Cracker Yields'!$I$11+'Financial Model Eth. Fur. Add.'!BK14*'Cracker Yields'!$J$11+'Financial Model Eth. Fur. Add.'!BK15*'Cracker Yields'!$K$11</f>
        <v>1772.2346400000001</v>
      </c>
      <c r="BL22" s="408">
        <f>BL12*'Cracker Yields'!$H$11+'Financial Model Eth. Fur. Add.'!BL13*'Cracker Yields'!$I$11+'Financial Model Eth. Fur. Add.'!BL14*'Cracker Yields'!$J$11+'Financial Model Eth. Fur. Add.'!BL15*'Cracker Yields'!$K$11</f>
        <v>1772.2346400000001</v>
      </c>
      <c r="BM22" s="408">
        <f>BM12*'Cracker Yields'!$H$11+'Financial Model Eth. Fur. Add.'!BM13*'Cracker Yields'!$I$11+'Financial Model Eth. Fur. Add.'!BM14*'Cracker Yields'!$J$11+'Financial Model Eth. Fur. Add.'!BM15*'Cracker Yields'!$K$11</f>
        <v>1772.2346400000001</v>
      </c>
      <c r="BN22" s="408">
        <f>BN12*'Cracker Yields'!$H$11+'Financial Model Eth. Fur. Add.'!BN13*'Cracker Yields'!$I$11+'Financial Model Eth. Fur. Add.'!BN14*'Cracker Yields'!$J$11+'Financial Model Eth. Fur. Add.'!BN15*'Cracker Yields'!$K$11</f>
        <v>1772.2346400000001</v>
      </c>
      <c r="BO22" s="408">
        <f>BO12*'Cracker Yields'!$H$11+'Financial Model Eth. Fur. Add.'!BO13*'Cracker Yields'!$I$11+'Financial Model Eth. Fur. Add.'!BO14*'Cracker Yields'!$J$11+'Financial Model Eth. Fur. Add.'!BO15*'Cracker Yields'!$K$11</f>
        <v>1772.2346400000001</v>
      </c>
      <c r="BP22" s="408">
        <f>BP12*'Cracker Yields'!$H$11+'Financial Model Eth. Fur. Add.'!BP13*'Cracker Yields'!$I$11+'Financial Model Eth. Fur. Add.'!BP14*'Cracker Yields'!$J$11+'Financial Model Eth. Fur. Add.'!BP15*'Cracker Yields'!$K$11</f>
        <v>1772.2346400000001</v>
      </c>
      <c r="BQ22" s="408">
        <f>BQ12*'Cracker Yields'!$H$11+'Financial Model Eth. Fur. Add.'!BQ13*'Cracker Yields'!$I$11+'Financial Model Eth. Fur. Add.'!BQ14*'Cracker Yields'!$J$11+'Financial Model Eth. Fur. Add.'!BQ15*'Cracker Yields'!$K$11</f>
        <v>1772.2346400000001</v>
      </c>
      <c r="BR22" s="408">
        <f>BR12*'Cracker Yields'!$H$11+'Financial Model Eth. Fur. Add.'!BR13*'Cracker Yields'!$I$11+'Financial Model Eth. Fur. Add.'!BR14*'Cracker Yields'!$J$11+'Financial Model Eth. Fur. Add.'!BR15*'Cracker Yields'!$K$11</f>
        <v>1772.2346400000001</v>
      </c>
      <c r="BS22" s="408">
        <f>BS12*'Cracker Yields'!$H$11+'Financial Model Eth. Fur. Add.'!BS13*'Cracker Yields'!$I$11+'Financial Model Eth. Fur. Add.'!BS14*'Cracker Yields'!$J$11+'Financial Model Eth. Fur. Add.'!BS15*'Cracker Yields'!$K$11</f>
        <v>1772.2346400000001</v>
      </c>
      <c r="BT22" s="408">
        <f>BT12*'Cracker Yields'!$H$11+'Financial Model Eth. Fur. Add.'!BT13*'Cracker Yields'!$I$11+'Financial Model Eth. Fur. Add.'!BT14*'Cracker Yields'!$J$11+'Financial Model Eth. Fur. Add.'!BT15*'Cracker Yields'!$K$11</f>
        <v>1772.2346400000001</v>
      </c>
      <c r="BU22" s="408">
        <f>BU12*'Cracker Yields'!$H$11+'Financial Model Eth. Fur. Add.'!BU13*'Cracker Yields'!$I$11+'Financial Model Eth. Fur. Add.'!BU14*'Cracker Yields'!$J$11+'Financial Model Eth. Fur. Add.'!BU15*'Cracker Yields'!$K$11</f>
        <v>1772.2346400000001</v>
      </c>
      <c r="BV22" s="408">
        <f>BV12*'Cracker Yields'!$H$11+'Financial Model Eth. Fur. Add.'!BV13*'Cracker Yields'!$I$11+'Financial Model Eth. Fur. Add.'!BV14*'Cracker Yields'!$J$11+'Financial Model Eth. Fur. Add.'!BV15*'Cracker Yields'!$K$11</f>
        <v>1772.2346400000001</v>
      </c>
      <c r="BW22" s="408">
        <f>BW12*'Cracker Yields'!$H$11+'Financial Model Eth. Fur. Add.'!BW13*'Cracker Yields'!$I$11+'Financial Model Eth. Fur. Add.'!BW14*'Cracker Yields'!$J$11+'Financial Model Eth. Fur. Add.'!BW15*'Cracker Yields'!$K$11</f>
        <v>1772.2346400000001</v>
      </c>
      <c r="BX22" s="408">
        <f>BX12*'Cracker Yields'!$H$11+'Financial Model Eth. Fur. Add.'!BX13*'Cracker Yields'!$I$11+'Financial Model Eth. Fur. Add.'!BX14*'Cracker Yields'!$J$11+'Financial Model Eth. Fur. Add.'!BX15*'Cracker Yields'!$K$11</f>
        <v>1772.2346400000001</v>
      </c>
      <c r="BY22" s="408">
        <f>BY12*'Cracker Yields'!$H$11+'Financial Model Eth. Fur. Add.'!BY13*'Cracker Yields'!$I$11+'Financial Model Eth. Fur. Add.'!BY14*'Cracker Yields'!$J$11+'Financial Model Eth. Fur. Add.'!BY15*'Cracker Yields'!$K$11</f>
        <v>1772.2346400000001</v>
      </c>
      <c r="BZ22" s="408">
        <f>BZ12*'Cracker Yields'!$H$11+'Financial Model Eth. Fur. Add.'!BZ13*'Cracker Yields'!$I$11+'Financial Model Eth. Fur. Add.'!BZ14*'Cracker Yields'!$J$11+'Financial Model Eth. Fur. Add.'!BZ15*'Cracker Yields'!$K$11</f>
        <v>1772.2346400000001</v>
      </c>
      <c r="CA22" s="408">
        <f>CA12*'Cracker Yields'!$H$11+'Financial Model Eth. Fur. Add.'!CA13*'Cracker Yields'!$I$11+'Financial Model Eth. Fur. Add.'!CA14*'Cracker Yields'!$J$11+'Financial Model Eth. Fur. Add.'!CA15*'Cracker Yields'!$K$11</f>
        <v>1772.2346400000001</v>
      </c>
      <c r="CB22" s="408">
        <f>CB12*'Cracker Yields'!$H$11+'Financial Model Eth. Fur. Add.'!CB13*'Cracker Yields'!$I$11+'Financial Model Eth. Fur. Add.'!CB14*'Cracker Yields'!$J$11+'Financial Model Eth. Fur. Add.'!CB15*'Cracker Yields'!$K$11</f>
        <v>1772.2346400000001</v>
      </c>
      <c r="CC22" s="408">
        <f>CC12*'Cracker Yields'!$H$11+'Financial Model Eth. Fur. Add.'!CC13*'Cracker Yields'!$I$11+'Financial Model Eth. Fur. Add.'!CC14*'Cracker Yields'!$J$11+'Financial Model Eth. Fur. Add.'!CC15*'Cracker Yields'!$K$11</f>
        <v>1772.2346400000001</v>
      </c>
      <c r="CD22" s="408">
        <f>CD12*'Cracker Yields'!$H$11+'Financial Model Eth. Fur. Add.'!CD13*'Cracker Yields'!$I$11+'Financial Model Eth. Fur. Add.'!CD14*'Cracker Yields'!$J$11+'Financial Model Eth. Fur. Add.'!CD15*'Cracker Yields'!$K$11</f>
        <v>1772.2346400000001</v>
      </c>
      <c r="CE22" s="408">
        <f>CE12*'Cracker Yields'!$H$11+'Financial Model Eth. Fur. Add.'!CE13*'Cracker Yields'!$I$11+'Financial Model Eth. Fur. Add.'!CE14*'Cracker Yields'!$J$11+'Financial Model Eth. Fur. Add.'!CE15*'Cracker Yields'!$K$11</f>
        <v>1772.2346400000001</v>
      </c>
      <c r="CF22" s="408">
        <f>CF12*'Cracker Yields'!$H$11+'Financial Model Eth. Fur. Add.'!CF13*'Cracker Yields'!$I$11+'Financial Model Eth. Fur. Add.'!CF14*'Cracker Yields'!$J$11+'Financial Model Eth. Fur. Add.'!CF15*'Cracker Yields'!$K$11</f>
        <v>1772.2346400000001</v>
      </c>
      <c r="CG22" s="408">
        <f>CG12*'Cracker Yields'!$H$11+'Financial Model Eth. Fur. Add.'!CG13*'Cracker Yields'!$I$11+'Financial Model Eth. Fur. Add.'!CG14*'Cracker Yields'!$J$11+'Financial Model Eth. Fur. Add.'!CG15*'Cracker Yields'!$K$11</f>
        <v>1772.2346400000001</v>
      </c>
      <c r="CH22" s="408">
        <f>CH12*'Cracker Yields'!$H$11+'Financial Model Eth. Fur. Add.'!CH13*'Cracker Yields'!$I$11+'Financial Model Eth. Fur. Add.'!CH14*'Cracker Yields'!$J$11+'Financial Model Eth. Fur. Add.'!CH15*'Cracker Yields'!$K$11</f>
        <v>1772.2346400000001</v>
      </c>
      <c r="CI22" s="408">
        <f>CI12*'Cracker Yields'!$H$11+'Financial Model Eth. Fur. Add.'!CI13*'Cracker Yields'!$I$11+'Financial Model Eth. Fur. Add.'!CI14*'Cracker Yields'!$J$11+'Financial Model Eth. Fur. Add.'!CI15*'Cracker Yields'!$K$11</f>
        <v>1772.2346400000001</v>
      </c>
      <c r="CJ22" s="408">
        <f>CJ12*'Cracker Yields'!$H$11+'Financial Model Eth. Fur. Add.'!CJ13*'Cracker Yields'!$I$11+'Financial Model Eth. Fur. Add.'!CJ14*'Cracker Yields'!$J$11+'Financial Model Eth. Fur. Add.'!CJ15*'Cracker Yields'!$K$11</f>
        <v>1772.2346400000001</v>
      </c>
      <c r="CK22" s="408">
        <f>CK12*'Cracker Yields'!$H$11+'Financial Model Eth. Fur. Add.'!CK13*'Cracker Yields'!$I$11+'Financial Model Eth. Fur. Add.'!CK14*'Cracker Yields'!$J$11+'Financial Model Eth. Fur. Add.'!CK15*'Cracker Yields'!$K$11</f>
        <v>1772.2346400000001</v>
      </c>
      <c r="CL22" s="408">
        <f>CL12*'Cracker Yields'!$H$11+'Financial Model Eth. Fur. Add.'!CL13*'Cracker Yields'!$I$11+'Financial Model Eth. Fur. Add.'!CL14*'Cracker Yields'!$J$11+'Financial Model Eth. Fur. Add.'!CL15*'Cracker Yields'!$K$11</f>
        <v>1772.2346400000001</v>
      </c>
      <c r="CM22" s="42">
        <f t="shared" si="1"/>
        <v>1772.2346399999997</v>
      </c>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row>
    <row r="23" spans="1:178">
      <c r="A23" s="1050" t="s">
        <v>314</v>
      </c>
      <c r="B23" s="2" t="s">
        <v>309</v>
      </c>
      <c r="C23" s="362" t="s">
        <v>310</v>
      </c>
      <c r="D23" s="362">
        <v>27.86</v>
      </c>
      <c r="E23" s="58"/>
      <c r="F23" s="382" t="s">
        <v>169</v>
      </c>
      <c r="G23" s="410">
        <f>$D$23*G16/1000</f>
        <v>3187.7597733333328</v>
      </c>
      <c r="H23" s="410">
        <f t="shared" ref="H23:BS23" si="2">$D$23*H16/1000</f>
        <v>3187.7597733333328</v>
      </c>
      <c r="I23" s="410">
        <f t="shared" si="2"/>
        <v>3187.7597733333328</v>
      </c>
      <c r="J23" s="410">
        <f t="shared" si="2"/>
        <v>3187.7597733333328</v>
      </c>
      <c r="K23" s="410">
        <f t="shared" si="2"/>
        <v>3187.7597733333328</v>
      </c>
      <c r="L23" s="410">
        <f t="shared" si="2"/>
        <v>3187.7597733333328</v>
      </c>
      <c r="M23" s="410">
        <f t="shared" si="2"/>
        <v>3187.7597733333328</v>
      </c>
      <c r="N23" s="410">
        <f t="shared" si="2"/>
        <v>3187.7597733333328</v>
      </c>
      <c r="O23" s="410">
        <f t="shared" si="2"/>
        <v>3187.7597733333328</v>
      </c>
      <c r="P23" s="410">
        <f t="shared" si="2"/>
        <v>3187.7597733333328</v>
      </c>
      <c r="Q23" s="410">
        <f t="shared" si="2"/>
        <v>3187.7597733333328</v>
      </c>
      <c r="R23" s="410">
        <f t="shared" si="2"/>
        <v>3187.7597733333328</v>
      </c>
      <c r="S23" s="410">
        <f t="shared" si="2"/>
        <v>3187.7597733333328</v>
      </c>
      <c r="T23" s="410">
        <f t="shared" si="2"/>
        <v>3187.7597733333328</v>
      </c>
      <c r="U23" s="410">
        <f t="shared" si="2"/>
        <v>3187.7597733333328</v>
      </c>
      <c r="V23" s="410">
        <f t="shared" si="2"/>
        <v>3187.7597733333328</v>
      </c>
      <c r="W23" s="410">
        <f t="shared" si="2"/>
        <v>3187.7597733333328</v>
      </c>
      <c r="X23" s="410">
        <f t="shared" si="2"/>
        <v>3187.7597733333328</v>
      </c>
      <c r="Y23" s="410">
        <f t="shared" si="2"/>
        <v>3187.7597733333328</v>
      </c>
      <c r="Z23" s="410">
        <f t="shared" si="2"/>
        <v>3187.7597733333328</v>
      </c>
      <c r="AA23" s="410">
        <f t="shared" si="2"/>
        <v>3187.7597733333328</v>
      </c>
      <c r="AB23" s="410">
        <f t="shared" si="2"/>
        <v>3187.7597733333328</v>
      </c>
      <c r="AC23" s="410">
        <f t="shared" si="2"/>
        <v>3187.7597733333328</v>
      </c>
      <c r="AD23" s="410">
        <f t="shared" si="2"/>
        <v>3187.7597733333328</v>
      </c>
      <c r="AE23" s="410">
        <f t="shared" si="2"/>
        <v>3187.7597733333328</v>
      </c>
      <c r="AF23" s="410">
        <f t="shared" si="2"/>
        <v>3187.7597733333328</v>
      </c>
      <c r="AG23" s="410">
        <f t="shared" si="2"/>
        <v>3187.7597733333328</v>
      </c>
      <c r="AH23" s="410">
        <f t="shared" si="2"/>
        <v>3187.7597733333328</v>
      </c>
      <c r="AI23" s="410">
        <f t="shared" si="2"/>
        <v>3187.7597733333328</v>
      </c>
      <c r="AJ23" s="410">
        <f t="shared" si="2"/>
        <v>3187.7597733333328</v>
      </c>
      <c r="AK23" s="410">
        <f t="shared" si="2"/>
        <v>3187.7597733333328</v>
      </c>
      <c r="AL23" s="410">
        <f t="shared" si="2"/>
        <v>3187.7597733333328</v>
      </c>
      <c r="AM23" s="410">
        <f t="shared" si="2"/>
        <v>3187.7597733333328</v>
      </c>
      <c r="AN23" s="410">
        <f t="shared" si="2"/>
        <v>3187.7597733333328</v>
      </c>
      <c r="AO23" s="410">
        <f t="shared" si="2"/>
        <v>3187.7597733333328</v>
      </c>
      <c r="AP23" s="410">
        <f t="shared" si="2"/>
        <v>3187.7597733333328</v>
      </c>
      <c r="AQ23" s="410">
        <f t="shared" si="2"/>
        <v>3187.7597733333328</v>
      </c>
      <c r="AR23" s="410">
        <f t="shared" si="2"/>
        <v>3187.7597733333328</v>
      </c>
      <c r="AS23" s="410">
        <f t="shared" si="2"/>
        <v>3187.7597733333328</v>
      </c>
      <c r="AT23" s="410">
        <f t="shared" si="2"/>
        <v>3187.7597733333328</v>
      </c>
      <c r="AU23" s="410">
        <f t="shared" si="2"/>
        <v>3187.7597733333328</v>
      </c>
      <c r="AV23" s="410">
        <f t="shared" si="2"/>
        <v>3187.7597733333328</v>
      </c>
      <c r="AW23" s="410">
        <f t="shared" si="2"/>
        <v>3187.7597733333328</v>
      </c>
      <c r="AX23" s="410">
        <f t="shared" si="2"/>
        <v>3187.7597733333328</v>
      </c>
      <c r="AY23" s="410">
        <f t="shared" si="2"/>
        <v>3187.7597733333328</v>
      </c>
      <c r="AZ23" s="410">
        <f t="shared" si="2"/>
        <v>3187.7597733333328</v>
      </c>
      <c r="BA23" s="410">
        <f t="shared" si="2"/>
        <v>3187.7597733333328</v>
      </c>
      <c r="BB23" s="410">
        <f t="shared" si="2"/>
        <v>3187.7597733333328</v>
      </c>
      <c r="BC23" s="410">
        <f t="shared" si="2"/>
        <v>3187.7597733333328</v>
      </c>
      <c r="BD23" s="410">
        <f t="shared" si="2"/>
        <v>3187.7597733333328</v>
      </c>
      <c r="BE23" s="410">
        <f t="shared" si="2"/>
        <v>3187.7597733333328</v>
      </c>
      <c r="BF23" s="410">
        <f t="shared" si="2"/>
        <v>3187.7597733333328</v>
      </c>
      <c r="BG23" s="410">
        <f t="shared" si="2"/>
        <v>3187.7597733333328</v>
      </c>
      <c r="BH23" s="410">
        <f t="shared" si="2"/>
        <v>3187.7597733333328</v>
      </c>
      <c r="BI23" s="410">
        <f t="shared" si="2"/>
        <v>3187.7597733333328</v>
      </c>
      <c r="BJ23" s="410">
        <f t="shared" si="2"/>
        <v>3187.7597733333328</v>
      </c>
      <c r="BK23" s="410">
        <f t="shared" si="2"/>
        <v>3187.7597733333328</v>
      </c>
      <c r="BL23" s="410">
        <f t="shared" si="2"/>
        <v>3187.7597733333328</v>
      </c>
      <c r="BM23" s="410">
        <f t="shared" si="2"/>
        <v>3187.7597733333328</v>
      </c>
      <c r="BN23" s="410">
        <f t="shared" si="2"/>
        <v>3187.7597733333328</v>
      </c>
      <c r="BO23" s="410">
        <f t="shared" si="2"/>
        <v>3187.7597733333328</v>
      </c>
      <c r="BP23" s="410">
        <f t="shared" si="2"/>
        <v>3187.7597733333328</v>
      </c>
      <c r="BQ23" s="410">
        <f t="shared" si="2"/>
        <v>3187.7597733333328</v>
      </c>
      <c r="BR23" s="410">
        <f t="shared" si="2"/>
        <v>3187.7597733333328</v>
      </c>
      <c r="BS23" s="410">
        <f t="shared" si="2"/>
        <v>3187.7597733333328</v>
      </c>
      <c r="BT23" s="410">
        <f t="shared" ref="BT23:CL23" si="3">$D$23*BT16/1000</f>
        <v>3187.7597733333328</v>
      </c>
      <c r="BU23" s="410">
        <f t="shared" si="3"/>
        <v>3187.7597733333328</v>
      </c>
      <c r="BV23" s="410">
        <f t="shared" si="3"/>
        <v>3187.7597733333328</v>
      </c>
      <c r="BW23" s="410">
        <f t="shared" si="3"/>
        <v>3187.7597733333328</v>
      </c>
      <c r="BX23" s="410">
        <f t="shared" si="3"/>
        <v>3187.7597733333328</v>
      </c>
      <c r="BY23" s="410">
        <f t="shared" si="3"/>
        <v>3187.7597733333328</v>
      </c>
      <c r="BZ23" s="410">
        <f t="shared" si="3"/>
        <v>3187.7597733333328</v>
      </c>
      <c r="CA23" s="410">
        <f t="shared" si="3"/>
        <v>3187.7597733333328</v>
      </c>
      <c r="CB23" s="410">
        <f t="shared" si="3"/>
        <v>3187.7597733333328</v>
      </c>
      <c r="CC23" s="410">
        <f t="shared" si="3"/>
        <v>3187.7597733333328</v>
      </c>
      <c r="CD23" s="410">
        <f t="shared" si="3"/>
        <v>3187.7597733333328</v>
      </c>
      <c r="CE23" s="410">
        <f t="shared" si="3"/>
        <v>3187.7597733333328</v>
      </c>
      <c r="CF23" s="410">
        <f t="shared" si="3"/>
        <v>3187.7597733333328</v>
      </c>
      <c r="CG23" s="410">
        <f t="shared" si="3"/>
        <v>3187.7597733333328</v>
      </c>
      <c r="CH23" s="410">
        <f t="shared" si="3"/>
        <v>3187.7597733333328</v>
      </c>
      <c r="CI23" s="410">
        <f t="shared" si="3"/>
        <v>3187.7597733333328</v>
      </c>
      <c r="CJ23" s="410">
        <f t="shared" si="3"/>
        <v>3187.7597733333328</v>
      </c>
      <c r="CK23" s="410">
        <f t="shared" si="3"/>
        <v>3187.7597733333328</v>
      </c>
      <c r="CL23" s="410">
        <f t="shared" si="3"/>
        <v>3187.7597733333328</v>
      </c>
      <c r="CM23" s="410">
        <f t="shared" si="1"/>
        <v>3187.7597733333296</v>
      </c>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row>
    <row r="24" spans="1:178">
      <c r="A24" s="1050"/>
      <c r="B24" s="2" t="s">
        <v>309</v>
      </c>
      <c r="C24" s="362" t="s">
        <v>310</v>
      </c>
      <c r="D24" s="362">
        <v>0.23</v>
      </c>
      <c r="E24" s="58"/>
      <c r="F24" s="382" t="s">
        <v>170</v>
      </c>
      <c r="G24" s="410">
        <f>$D$24*G13</f>
        <v>4695.8333333333339</v>
      </c>
      <c r="H24" s="410">
        <f t="shared" ref="H24:BS24" si="4">$D$24*H13</f>
        <v>4695.8333333333339</v>
      </c>
      <c r="I24" s="410">
        <f t="shared" si="4"/>
        <v>4695.8333333333339</v>
      </c>
      <c r="J24" s="410">
        <f t="shared" si="4"/>
        <v>4695.8333333333339</v>
      </c>
      <c r="K24" s="410">
        <f t="shared" si="4"/>
        <v>4695.8333333333339</v>
      </c>
      <c r="L24" s="410">
        <f t="shared" si="4"/>
        <v>4695.8333333333339</v>
      </c>
      <c r="M24" s="410">
        <f t="shared" si="4"/>
        <v>4695.8333333333339</v>
      </c>
      <c r="N24" s="410">
        <f t="shared" si="4"/>
        <v>4695.8333333333339</v>
      </c>
      <c r="O24" s="410">
        <f t="shared" si="4"/>
        <v>4695.8333333333339</v>
      </c>
      <c r="P24" s="410">
        <f t="shared" si="4"/>
        <v>4695.8333333333339</v>
      </c>
      <c r="Q24" s="410">
        <f t="shared" si="4"/>
        <v>4695.8333333333339</v>
      </c>
      <c r="R24" s="410">
        <f t="shared" si="4"/>
        <v>4695.8333333333339</v>
      </c>
      <c r="S24" s="410">
        <f t="shared" si="4"/>
        <v>4695.8333333333339</v>
      </c>
      <c r="T24" s="410">
        <f t="shared" si="4"/>
        <v>4695.8333333333339</v>
      </c>
      <c r="U24" s="410">
        <f t="shared" si="4"/>
        <v>4695.8333333333339</v>
      </c>
      <c r="V24" s="410">
        <f t="shared" si="4"/>
        <v>4695.8333333333339</v>
      </c>
      <c r="W24" s="410">
        <f t="shared" si="4"/>
        <v>4695.8333333333339</v>
      </c>
      <c r="X24" s="410">
        <f t="shared" si="4"/>
        <v>4695.8333333333339</v>
      </c>
      <c r="Y24" s="410">
        <f t="shared" si="4"/>
        <v>4695.8333333333339</v>
      </c>
      <c r="Z24" s="410">
        <f t="shared" si="4"/>
        <v>4695.8333333333339</v>
      </c>
      <c r="AA24" s="410">
        <f t="shared" si="4"/>
        <v>4695.8333333333339</v>
      </c>
      <c r="AB24" s="410">
        <f t="shared" si="4"/>
        <v>4695.8333333333339</v>
      </c>
      <c r="AC24" s="410">
        <f t="shared" si="4"/>
        <v>4695.8333333333339</v>
      </c>
      <c r="AD24" s="410">
        <f t="shared" si="4"/>
        <v>4695.8333333333339</v>
      </c>
      <c r="AE24" s="410">
        <f t="shared" si="4"/>
        <v>4695.8333333333339</v>
      </c>
      <c r="AF24" s="410">
        <f t="shared" si="4"/>
        <v>4695.8333333333339</v>
      </c>
      <c r="AG24" s="410">
        <f t="shared" si="4"/>
        <v>4695.8333333333339</v>
      </c>
      <c r="AH24" s="410">
        <f t="shared" si="4"/>
        <v>4695.8333333333339</v>
      </c>
      <c r="AI24" s="410">
        <f t="shared" si="4"/>
        <v>4695.8333333333339</v>
      </c>
      <c r="AJ24" s="410">
        <f t="shared" si="4"/>
        <v>4695.8333333333339</v>
      </c>
      <c r="AK24" s="410">
        <f t="shared" si="4"/>
        <v>4695.8333333333339</v>
      </c>
      <c r="AL24" s="410">
        <f t="shared" si="4"/>
        <v>4695.8333333333339</v>
      </c>
      <c r="AM24" s="410">
        <f t="shared" si="4"/>
        <v>4695.8333333333339</v>
      </c>
      <c r="AN24" s="410">
        <f t="shared" si="4"/>
        <v>4695.8333333333339</v>
      </c>
      <c r="AO24" s="410">
        <f t="shared" si="4"/>
        <v>4695.8333333333339</v>
      </c>
      <c r="AP24" s="410">
        <f t="shared" si="4"/>
        <v>4695.8333333333339</v>
      </c>
      <c r="AQ24" s="410">
        <f t="shared" si="4"/>
        <v>4695.8333333333339</v>
      </c>
      <c r="AR24" s="410">
        <f t="shared" si="4"/>
        <v>4695.8333333333339</v>
      </c>
      <c r="AS24" s="410">
        <f t="shared" si="4"/>
        <v>4695.8333333333339</v>
      </c>
      <c r="AT24" s="410">
        <f t="shared" si="4"/>
        <v>4695.8333333333339</v>
      </c>
      <c r="AU24" s="410">
        <f t="shared" si="4"/>
        <v>4695.8333333333339</v>
      </c>
      <c r="AV24" s="410">
        <f t="shared" si="4"/>
        <v>4695.8333333333339</v>
      </c>
      <c r="AW24" s="410">
        <f t="shared" si="4"/>
        <v>4695.8333333333339</v>
      </c>
      <c r="AX24" s="410">
        <f t="shared" si="4"/>
        <v>4695.8333333333339</v>
      </c>
      <c r="AY24" s="410">
        <f t="shared" si="4"/>
        <v>4695.8333333333339</v>
      </c>
      <c r="AZ24" s="410">
        <f t="shared" si="4"/>
        <v>4695.8333333333339</v>
      </c>
      <c r="BA24" s="410">
        <f t="shared" si="4"/>
        <v>4695.8333333333339</v>
      </c>
      <c r="BB24" s="410">
        <f t="shared" si="4"/>
        <v>4695.8333333333339</v>
      </c>
      <c r="BC24" s="410">
        <f t="shared" si="4"/>
        <v>4695.8333333333339</v>
      </c>
      <c r="BD24" s="410">
        <f t="shared" si="4"/>
        <v>4695.8333333333339</v>
      </c>
      <c r="BE24" s="410">
        <f t="shared" si="4"/>
        <v>4695.8333333333339</v>
      </c>
      <c r="BF24" s="410">
        <f t="shared" si="4"/>
        <v>4695.8333333333339</v>
      </c>
      <c r="BG24" s="410">
        <f t="shared" si="4"/>
        <v>4695.8333333333339</v>
      </c>
      <c r="BH24" s="410">
        <f t="shared" si="4"/>
        <v>4695.8333333333339</v>
      </c>
      <c r="BI24" s="410">
        <f t="shared" si="4"/>
        <v>4695.8333333333339</v>
      </c>
      <c r="BJ24" s="410">
        <f t="shared" si="4"/>
        <v>4695.8333333333339</v>
      </c>
      <c r="BK24" s="410">
        <f t="shared" si="4"/>
        <v>4695.8333333333339</v>
      </c>
      <c r="BL24" s="410">
        <f t="shared" si="4"/>
        <v>4695.8333333333339</v>
      </c>
      <c r="BM24" s="410">
        <f t="shared" si="4"/>
        <v>4695.8333333333339</v>
      </c>
      <c r="BN24" s="410">
        <f t="shared" si="4"/>
        <v>4695.8333333333339</v>
      </c>
      <c r="BO24" s="410">
        <f t="shared" si="4"/>
        <v>4695.8333333333339</v>
      </c>
      <c r="BP24" s="410">
        <f t="shared" si="4"/>
        <v>4695.8333333333339</v>
      </c>
      <c r="BQ24" s="410">
        <f t="shared" si="4"/>
        <v>4695.8333333333339</v>
      </c>
      <c r="BR24" s="410">
        <f t="shared" si="4"/>
        <v>4695.8333333333339</v>
      </c>
      <c r="BS24" s="410">
        <f t="shared" si="4"/>
        <v>4695.8333333333339</v>
      </c>
      <c r="BT24" s="410">
        <f t="shared" ref="BT24:CL24" si="5">$D$24*BT13</f>
        <v>4695.8333333333339</v>
      </c>
      <c r="BU24" s="410">
        <f t="shared" si="5"/>
        <v>4695.8333333333339</v>
      </c>
      <c r="BV24" s="410">
        <f t="shared" si="5"/>
        <v>4695.8333333333339</v>
      </c>
      <c r="BW24" s="410">
        <f t="shared" si="5"/>
        <v>4695.8333333333339</v>
      </c>
      <c r="BX24" s="410">
        <f t="shared" si="5"/>
        <v>4695.8333333333339</v>
      </c>
      <c r="BY24" s="410">
        <f t="shared" si="5"/>
        <v>4695.8333333333339</v>
      </c>
      <c r="BZ24" s="410">
        <f t="shared" si="5"/>
        <v>4695.8333333333339</v>
      </c>
      <c r="CA24" s="410">
        <f t="shared" si="5"/>
        <v>4695.8333333333339</v>
      </c>
      <c r="CB24" s="410">
        <f t="shared" si="5"/>
        <v>4695.8333333333339</v>
      </c>
      <c r="CC24" s="410">
        <f t="shared" si="5"/>
        <v>4695.8333333333339</v>
      </c>
      <c r="CD24" s="410">
        <f t="shared" si="5"/>
        <v>4695.8333333333339</v>
      </c>
      <c r="CE24" s="410">
        <f t="shared" si="5"/>
        <v>4695.8333333333339</v>
      </c>
      <c r="CF24" s="410">
        <f t="shared" si="5"/>
        <v>4695.8333333333339</v>
      </c>
      <c r="CG24" s="410">
        <f t="shared" si="5"/>
        <v>4695.8333333333339</v>
      </c>
      <c r="CH24" s="410">
        <f t="shared" si="5"/>
        <v>4695.8333333333339</v>
      </c>
      <c r="CI24" s="410">
        <f t="shared" si="5"/>
        <v>4695.8333333333339</v>
      </c>
      <c r="CJ24" s="410">
        <f t="shared" si="5"/>
        <v>4695.8333333333339</v>
      </c>
      <c r="CK24" s="410">
        <f t="shared" si="5"/>
        <v>4695.8333333333339</v>
      </c>
      <c r="CL24" s="410">
        <f t="shared" si="5"/>
        <v>4695.8333333333339</v>
      </c>
      <c r="CM24" s="410">
        <f t="shared" si="1"/>
        <v>4695.8333333333294</v>
      </c>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row>
    <row r="25" spans="1:178">
      <c r="A25" s="1050"/>
      <c r="B25" s="2" t="s">
        <v>309</v>
      </c>
      <c r="C25" s="362" t="s">
        <v>310</v>
      </c>
      <c r="D25" s="362">
        <v>0.26500000000000001</v>
      </c>
      <c r="E25" s="58"/>
      <c r="F25" s="382" t="s">
        <v>171</v>
      </c>
      <c r="G25" s="410">
        <f>$D$25*G14</f>
        <v>3003.3333333333335</v>
      </c>
      <c r="H25" s="410">
        <f t="shared" ref="H25:BS25" si="6">$D$25*H14</f>
        <v>3003.3333333333335</v>
      </c>
      <c r="I25" s="410">
        <f t="shared" si="6"/>
        <v>3003.3333333333335</v>
      </c>
      <c r="J25" s="410">
        <f t="shared" si="6"/>
        <v>3003.3333333333335</v>
      </c>
      <c r="K25" s="410">
        <f t="shared" si="6"/>
        <v>3003.3333333333335</v>
      </c>
      <c r="L25" s="410">
        <f t="shared" si="6"/>
        <v>3003.3333333333335</v>
      </c>
      <c r="M25" s="410">
        <f t="shared" si="6"/>
        <v>3003.3333333333335</v>
      </c>
      <c r="N25" s="410">
        <f t="shared" si="6"/>
        <v>3003.3333333333335</v>
      </c>
      <c r="O25" s="410">
        <f t="shared" si="6"/>
        <v>3003.3333333333335</v>
      </c>
      <c r="P25" s="410">
        <f t="shared" si="6"/>
        <v>3003.3333333333335</v>
      </c>
      <c r="Q25" s="410">
        <f t="shared" si="6"/>
        <v>3003.3333333333335</v>
      </c>
      <c r="R25" s="410">
        <f t="shared" si="6"/>
        <v>3003.3333333333335</v>
      </c>
      <c r="S25" s="410">
        <f t="shared" si="6"/>
        <v>3003.3333333333335</v>
      </c>
      <c r="T25" s="410">
        <f t="shared" si="6"/>
        <v>3003.3333333333335</v>
      </c>
      <c r="U25" s="410">
        <f t="shared" si="6"/>
        <v>3003.3333333333335</v>
      </c>
      <c r="V25" s="410">
        <f t="shared" si="6"/>
        <v>3003.3333333333335</v>
      </c>
      <c r="W25" s="410">
        <f t="shared" si="6"/>
        <v>3003.3333333333335</v>
      </c>
      <c r="X25" s="410">
        <f t="shared" si="6"/>
        <v>3003.3333333333335</v>
      </c>
      <c r="Y25" s="410">
        <f t="shared" si="6"/>
        <v>3003.3333333333335</v>
      </c>
      <c r="Z25" s="410">
        <f t="shared" si="6"/>
        <v>3003.3333333333335</v>
      </c>
      <c r="AA25" s="410">
        <f t="shared" si="6"/>
        <v>3003.3333333333335</v>
      </c>
      <c r="AB25" s="410">
        <f t="shared" si="6"/>
        <v>3003.3333333333335</v>
      </c>
      <c r="AC25" s="410">
        <f t="shared" si="6"/>
        <v>3003.3333333333335</v>
      </c>
      <c r="AD25" s="410">
        <f t="shared" si="6"/>
        <v>3003.3333333333335</v>
      </c>
      <c r="AE25" s="410">
        <f t="shared" si="6"/>
        <v>3003.3333333333335</v>
      </c>
      <c r="AF25" s="410">
        <f t="shared" si="6"/>
        <v>3003.3333333333335</v>
      </c>
      <c r="AG25" s="410">
        <f t="shared" si="6"/>
        <v>3003.3333333333335</v>
      </c>
      <c r="AH25" s="410">
        <f t="shared" si="6"/>
        <v>3003.3333333333335</v>
      </c>
      <c r="AI25" s="410">
        <f t="shared" si="6"/>
        <v>3003.3333333333335</v>
      </c>
      <c r="AJ25" s="410">
        <f t="shared" si="6"/>
        <v>3003.3333333333335</v>
      </c>
      <c r="AK25" s="410">
        <f t="shared" si="6"/>
        <v>3003.3333333333335</v>
      </c>
      <c r="AL25" s="410">
        <f t="shared" si="6"/>
        <v>3003.3333333333335</v>
      </c>
      <c r="AM25" s="410">
        <f t="shared" si="6"/>
        <v>3003.3333333333335</v>
      </c>
      <c r="AN25" s="410">
        <f t="shared" si="6"/>
        <v>3003.3333333333335</v>
      </c>
      <c r="AO25" s="410">
        <f t="shared" si="6"/>
        <v>3003.3333333333335</v>
      </c>
      <c r="AP25" s="410">
        <f t="shared" si="6"/>
        <v>3003.3333333333335</v>
      </c>
      <c r="AQ25" s="410">
        <f t="shared" si="6"/>
        <v>3003.3333333333335</v>
      </c>
      <c r="AR25" s="410">
        <f t="shared" si="6"/>
        <v>3003.3333333333335</v>
      </c>
      <c r="AS25" s="410">
        <f t="shared" si="6"/>
        <v>3003.3333333333335</v>
      </c>
      <c r="AT25" s="410">
        <f t="shared" si="6"/>
        <v>3003.3333333333335</v>
      </c>
      <c r="AU25" s="410">
        <f t="shared" si="6"/>
        <v>3003.3333333333335</v>
      </c>
      <c r="AV25" s="410">
        <f t="shared" si="6"/>
        <v>3003.3333333333335</v>
      </c>
      <c r="AW25" s="410">
        <f t="shared" si="6"/>
        <v>3003.3333333333335</v>
      </c>
      <c r="AX25" s="410">
        <f t="shared" si="6"/>
        <v>3003.3333333333335</v>
      </c>
      <c r="AY25" s="410">
        <f t="shared" si="6"/>
        <v>3003.3333333333335</v>
      </c>
      <c r="AZ25" s="410">
        <f t="shared" si="6"/>
        <v>3003.3333333333335</v>
      </c>
      <c r="BA25" s="410">
        <f t="shared" si="6"/>
        <v>3003.3333333333335</v>
      </c>
      <c r="BB25" s="410">
        <f t="shared" si="6"/>
        <v>3003.3333333333335</v>
      </c>
      <c r="BC25" s="410">
        <f t="shared" si="6"/>
        <v>3003.3333333333335</v>
      </c>
      <c r="BD25" s="410">
        <f t="shared" si="6"/>
        <v>3003.3333333333335</v>
      </c>
      <c r="BE25" s="410">
        <f t="shared" si="6"/>
        <v>3003.3333333333335</v>
      </c>
      <c r="BF25" s="410">
        <f t="shared" si="6"/>
        <v>3003.3333333333335</v>
      </c>
      <c r="BG25" s="410">
        <f t="shared" si="6"/>
        <v>3003.3333333333335</v>
      </c>
      <c r="BH25" s="410">
        <f t="shared" si="6"/>
        <v>3003.3333333333335</v>
      </c>
      <c r="BI25" s="410">
        <f t="shared" si="6"/>
        <v>3003.3333333333335</v>
      </c>
      <c r="BJ25" s="410">
        <f t="shared" si="6"/>
        <v>3003.3333333333335</v>
      </c>
      <c r="BK25" s="410">
        <f t="shared" si="6"/>
        <v>3003.3333333333335</v>
      </c>
      <c r="BL25" s="410">
        <f t="shared" si="6"/>
        <v>3003.3333333333335</v>
      </c>
      <c r="BM25" s="410">
        <f t="shared" si="6"/>
        <v>3003.3333333333335</v>
      </c>
      <c r="BN25" s="410">
        <f t="shared" si="6"/>
        <v>3003.3333333333335</v>
      </c>
      <c r="BO25" s="410">
        <f t="shared" si="6"/>
        <v>3003.3333333333335</v>
      </c>
      <c r="BP25" s="410">
        <f t="shared" si="6"/>
        <v>3003.3333333333335</v>
      </c>
      <c r="BQ25" s="410">
        <f t="shared" si="6"/>
        <v>3003.3333333333335</v>
      </c>
      <c r="BR25" s="410">
        <f t="shared" si="6"/>
        <v>3003.3333333333335</v>
      </c>
      <c r="BS25" s="410">
        <f t="shared" si="6"/>
        <v>3003.3333333333335</v>
      </c>
      <c r="BT25" s="410">
        <f t="shared" ref="BT25:CL25" si="7">$D$25*BT14</f>
        <v>3003.3333333333335</v>
      </c>
      <c r="BU25" s="410">
        <f t="shared" si="7"/>
        <v>3003.3333333333335</v>
      </c>
      <c r="BV25" s="410">
        <f t="shared" si="7"/>
        <v>3003.3333333333335</v>
      </c>
      <c r="BW25" s="410">
        <f t="shared" si="7"/>
        <v>3003.3333333333335</v>
      </c>
      <c r="BX25" s="410">
        <f t="shared" si="7"/>
        <v>3003.3333333333335</v>
      </c>
      <c r="BY25" s="410">
        <f t="shared" si="7"/>
        <v>3003.3333333333335</v>
      </c>
      <c r="BZ25" s="410">
        <f t="shared" si="7"/>
        <v>3003.3333333333335</v>
      </c>
      <c r="CA25" s="410">
        <f t="shared" si="7"/>
        <v>3003.3333333333335</v>
      </c>
      <c r="CB25" s="410">
        <f t="shared" si="7"/>
        <v>3003.3333333333335</v>
      </c>
      <c r="CC25" s="410">
        <f t="shared" si="7"/>
        <v>3003.3333333333335</v>
      </c>
      <c r="CD25" s="410">
        <f t="shared" si="7"/>
        <v>3003.3333333333335</v>
      </c>
      <c r="CE25" s="410">
        <f t="shared" si="7"/>
        <v>3003.3333333333335</v>
      </c>
      <c r="CF25" s="410">
        <f t="shared" si="7"/>
        <v>3003.3333333333335</v>
      </c>
      <c r="CG25" s="410">
        <f t="shared" si="7"/>
        <v>3003.3333333333335</v>
      </c>
      <c r="CH25" s="410">
        <f t="shared" si="7"/>
        <v>3003.3333333333335</v>
      </c>
      <c r="CI25" s="410">
        <f t="shared" si="7"/>
        <v>3003.3333333333335</v>
      </c>
      <c r="CJ25" s="410">
        <f t="shared" si="7"/>
        <v>3003.3333333333335</v>
      </c>
      <c r="CK25" s="410">
        <f t="shared" si="7"/>
        <v>3003.3333333333335</v>
      </c>
      <c r="CL25" s="410">
        <f t="shared" si="7"/>
        <v>3003.3333333333335</v>
      </c>
      <c r="CM25" s="410">
        <f t="shared" si="1"/>
        <v>3003.3333333333371</v>
      </c>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row>
    <row r="26" spans="1:178">
      <c r="A26" s="1050"/>
      <c r="B26" s="2" t="s">
        <v>309</v>
      </c>
      <c r="C26" s="362" t="s">
        <v>310</v>
      </c>
      <c r="D26" s="362">
        <v>0.18049999999999999</v>
      </c>
      <c r="E26" s="58"/>
      <c r="F26" s="382" t="s">
        <v>172</v>
      </c>
      <c r="G26" s="410">
        <f>$D$26*G15</f>
        <v>16109.625</v>
      </c>
      <c r="H26" s="410">
        <f t="shared" ref="H26:BS26" si="8">$D$26*H15</f>
        <v>16109.625</v>
      </c>
      <c r="I26" s="410">
        <f t="shared" si="8"/>
        <v>16109.625</v>
      </c>
      <c r="J26" s="410">
        <f t="shared" si="8"/>
        <v>16109.625</v>
      </c>
      <c r="K26" s="410">
        <f t="shared" si="8"/>
        <v>16109.625</v>
      </c>
      <c r="L26" s="410">
        <f t="shared" si="8"/>
        <v>16109.625</v>
      </c>
      <c r="M26" s="410">
        <f t="shared" si="8"/>
        <v>16109.625</v>
      </c>
      <c r="N26" s="410">
        <f t="shared" si="8"/>
        <v>16109.625</v>
      </c>
      <c r="O26" s="410">
        <f t="shared" si="8"/>
        <v>16109.625</v>
      </c>
      <c r="P26" s="410">
        <f t="shared" si="8"/>
        <v>16109.625</v>
      </c>
      <c r="Q26" s="410">
        <f t="shared" si="8"/>
        <v>16109.625</v>
      </c>
      <c r="R26" s="410">
        <f t="shared" si="8"/>
        <v>16109.625</v>
      </c>
      <c r="S26" s="410">
        <f t="shared" si="8"/>
        <v>16109.625</v>
      </c>
      <c r="T26" s="410">
        <f t="shared" si="8"/>
        <v>16109.625</v>
      </c>
      <c r="U26" s="410">
        <f t="shared" si="8"/>
        <v>16109.625</v>
      </c>
      <c r="V26" s="410">
        <f t="shared" si="8"/>
        <v>16109.625</v>
      </c>
      <c r="W26" s="410">
        <f t="shared" si="8"/>
        <v>16109.625</v>
      </c>
      <c r="X26" s="410">
        <f t="shared" si="8"/>
        <v>16109.625</v>
      </c>
      <c r="Y26" s="410">
        <f t="shared" si="8"/>
        <v>16109.625</v>
      </c>
      <c r="Z26" s="410">
        <f t="shared" si="8"/>
        <v>16109.625</v>
      </c>
      <c r="AA26" s="410">
        <f t="shared" si="8"/>
        <v>16109.625</v>
      </c>
      <c r="AB26" s="410">
        <f t="shared" si="8"/>
        <v>16109.625</v>
      </c>
      <c r="AC26" s="410">
        <f t="shared" si="8"/>
        <v>16109.625</v>
      </c>
      <c r="AD26" s="410">
        <f t="shared" si="8"/>
        <v>16109.625</v>
      </c>
      <c r="AE26" s="410">
        <f t="shared" si="8"/>
        <v>16109.625</v>
      </c>
      <c r="AF26" s="410">
        <f t="shared" si="8"/>
        <v>16109.625</v>
      </c>
      <c r="AG26" s="410">
        <f t="shared" si="8"/>
        <v>16109.625</v>
      </c>
      <c r="AH26" s="410">
        <f t="shared" si="8"/>
        <v>16109.625</v>
      </c>
      <c r="AI26" s="410">
        <f t="shared" si="8"/>
        <v>16109.625</v>
      </c>
      <c r="AJ26" s="410">
        <f t="shared" si="8"/>
        <v>16109.625</v>
      </c>
      <c r="AK26" s="410">
        <f t="shared" si="8"/>
        <v>16109.625</v>
      </c>
      <c r="AL26" s="410">
        <f t="shared" si="8"/>
        <v>16109.625</v>
      </c>
      <c r="AM26" s="410">
        <f t="shared" si="8"/>
        <v>16109.625</v>
      </c>
      <c r="AN26" s="410">
        <f t="shared" si="8"/>
        <v>16109.625</v>
      </c>
      <c r="AO26" s="410">
        <f t="shared" si="8"/>
        <v>16109.625</v>
      </c>
      <c r="AP26" s="410">
        <f t="shared" si="8"/>
        <v>16109.625</v>
      </c>
      <c r="AQ26" s="410">
        <f t="shared" si="8"/>
        <v>16109.625</v>
      </c>
      <c r="AR26" s="410">
        <f t="shared" si="8"/>
        <v>16109.625</v>
      </c>
      <c r="AS26" s="410">
        <f t="shared" si="8"/>
        <v>16109.625</v>
      </c>
      <c r="AT26" s="410">
        <f t="shared" si="8"/>
        <v>16109.625</v>
      </c>
      <c r="AU26" s="410">
        <f t="shared" si="8"/>
        <v>16109.625</v>
      </c>
      <c r="AV26" s="410">
        <f t="shared" si="8"/>
        <v>16109.625</v>
      </c>
      <c r="AW26" s="410">
        <f t="shared" si="8"/>
        <v>16109.625</v>
      </c>
      <c r="AX26" s="410">
        <f t="shared" si="8"/>
        <v>16109.625</v>
      </c>
      <c r="AY26" s="410">
        <f t="shared" si="8"/>
        <v>16109.625</v>
      </c>
      <c r="AZ26" s="410">
        <f t="shared" si="8"/>
        <v>16109.625</v>
      </c>
      <c r="BA26" s="410">
        <f t="shared" si="8"/>
        <v>16109.625</v>
      </c>
      <c r="BB26" s="410">
        <f t="shared" si="8"/>
        <v>16109.625</v>
      </c>
      <c r="BC26" s="410">
        <f t="shared" si="8"/>
        <v>16109.625</v>
      </c>
      <c r="BD26" s="410">
        <f t="shared" si="8"/>
        <v>16109.625</v>
      </c>
      <c r="BE26" s="410">
        <f t="shared" si="8"/>
        <v>16109.625</v>
      </c>
      <c r="BF26" s="410">
        <f t="shared" si="8"/>
        <v>16109.625</v>
      </c>
      <c r="BG26" s="410">
        <f t="shared" si="8"/>
        <v>16109.625</v>
      </c>
      <c r="BH26" s="410">
        <f t="shared" si="8"/>
        <v>16109.625</v>
      </c>
      <c r="BI26" s="410">
        <f t="shared" si="8"/>
        <v>16109.625</v>
      </c>
      <c r="BJ26" s="410">
        <f t="shared" si="8"/>
        <v>16109.625</v>
      </c>
      <c r="BK26" s="410">
        <f t="shared" si="8"/>
        <v>16109.625</v>
      </c>
      <c r="BL26" s="410">
        <f t="shared" si="8"/>
        <v>16109.625</v>
      </c>
      <c r="BM26" s="410">
        <f t="shared" si="8"/>
        <v>16109.625</v>
      </c>
      <c r="BN26" s="410">
        <f t="shared" si="8"/>
        <v>16109.625</v>
      </c>
      <c r="BO26" s="410">
        <f t="shared" si="8"/>
        <v>16109.625</v>
      </c>
      <c r="BP26" s="410">
        <f t="shared" si="8"/>
        <v>16109.625</v>
      </c>
      <c r="BQ26" s="410">
        <f t="shared" si="8"/>
        <v>16109.625</v>
      </c>
      <c r="BR26" s="410">
        <f t="shared" si="8"/>
        <v>16109.625</v>
      </c>
      <c r="BS26" s="410">
        <f t="shared" si="8"/>
        <v>16109.625</v>
      </c>
      <c r="BT26" s="410">
        <f t="shared" ref="BT26:CL26" si="9">$D$26*BT15</f>
        <v>16109.625</v>
      </c>
      <c r="BU26" s="410">
        <f t="shared" si="9"/>
        <v>16109.625</v>
      </c>
      <c r="BV26" s="410">
        <f t="shared" si="9"/>
        <v>16109.625</v>
      </c>
      <c r="BW26" s="410">
        <f t="shared" si="9"/>
        <v>16109.625</v>
      </c>
      <c r="BX26" s="410">
        <f t="shared" si="9"/>
        <v>16109.625</v>
      </c>
      <c r="BY26" s="410">
        <f t="shared" si="9"/>
        <v>16109.625</v>
      </c>
      <c r="BZ26" s="410">
        <f t="shared" si="9"/>
        <v>16109.625</v>
      </c>
      <c r="CA26" s="410">
        <f t="shared" si="9"/>
        <v>16109.625</v>
      </c>
      <c r="CB26" s="410">
        <f t="shared" si="9"/>
        <v>16109.625</v>
      </c>
      <c r="CC26" s="410">
        <f t="shared" si="9"/>
        <v>16109.625</v>
      </c>
      <c r="CD26" s="410">
        <f t="shared" si="9"/>
        <v>16109.625</v>
      </c>
      <c r="CE26" s="410">
        <f t="shared" si="9"/>
        <v>16109.625</v>
      </c>
      <c r="CF26" s="410">
        <f t="shared" si="9"/>
        <v>16109.625</v>
      </c>
      <c r="CG26" s="410">
        <f t="shared" si="9"/>
        <v>16109.625</v>
      </c>
      <c r="CH26" s="410">
        <f t="shared" si="9"/>
        <v>16109.625</v>
      </c>
      <c r="CI26" s="410">
        <f t="shared" si="9"/>
        <v>16109.625</v>
      </c>
      <c r="CJ26" s="410">
        <f t="shared" si="9"/>
        <v>16109.625</v>
      </c>
      <c r="CK26" s="410">
        <f t="shared" si="9"/>
        <v>16109.625</v>
      </c>
      <c r="CL26" s="410">
        <f t="shared" si="9"/>
        <v>16109.625</v>
      </c>
      <c r="CM26" s="410">
        <f t="shared" si="1"/>
        <v>16109.625</v>
      </c>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row>
    <row r="27" spans="1:178">
      <c r="A27" s="1050"/>
      <c r="B27" s="2" t="s">
        <v>309</v>
      </c>
      <c r="C27" s="362" t="s">
        <v>310</v>
      </c>
      <c r="D27" s="362">
        <v>1.8104</v>
      </c>
      <c r="E27" s="58"/>
      <c r="F27" s="382" t="s">
        <v>173</v>
      </c>
      <c r="G27" s="410">
        <f>$D$27*G16</f>
        <v>207147.17493333333</v>
      </c>
      <c r="H27" s="410">
        <f t="shared" ref="H27:BS27" si="10">$D$27*H16</f>
        <v>207147.17493333333</v>
      </c>
      <c r="I27" s="410">
        <f t="shared" si="10"/>
        <v>207147.17493333333</v>
      </c>
      <c r="J27" s="410">
        <f t="shared" si="10"/>
        <v>207147.17493333333</v>
      </c>
      <c r="K27" s="410">
        <f t="shared" si="10"/>
        <v>207147.17493333333</v>
      </c>
      <c r="L27" s="410">
        <f t="shared" si="10"/>
        <v>207147.17493333333</v>
      </c>
      <c r="M27" s="410">
        <f t="shared" si="10"/>
        <v>207147.17493333333</v>
      </c>
      <c r="N27" s="410">
        <f t="shared" si="10"/>
        <v>207147.17493333333</v>
      </c>
      <c r="O27" s="410">
        <f t="shared" si="10"/>
        <v>207147.17493333333</v>
      </c>
      <c r="P27" s="410">
        <f t="shared" si="10"/>
        <v>207147.17493333333</v>
      </c>
      <c r="Q27" s="410">
        <f t="shared" si="10"/>
        <v>207147.17493333333</v>
      </c>
      <c r="R27" s="410">
        <f t="shared" si="10"/>
        <v>207147.17493333333</v>
      </c>
      <c r="S27" s="410">
        <f t="shared" si="10"/>
        <v>207147.17493333333</v>
      </c>
      <c r="T27" s="410">
        <f t="shared" si="10"/>
        <v>207147.17493333333</v>
      </c>
      <c r="U27" s="410">
        <f t="shared" si="10"/>
        <v>207147.17493333333</v>
      </c>
      <c r="V27" s="410">
        <f t="shared" si="10"/>
        <v>207147.17493333333</v>
      </c>
      <c r="W27" s="410">
        <f t="shared" si="10"/>
        <v>207147.17493333333</v>
      </c>
      <c r="X27" s="410">
        <f t="shared" si="10"/>
        <v>207147.17493333333</v>
      </c>
      <c r="Y27" s="410">
        <f t="shared" si="10"/>
        <v>207147.17493333333</v>
      </c>
      <c r="Z27" s="410">
        <f t="shared" si="10"/>
        <v>207147.17493333333</v>
      </c>
      <c r="AA27" s="410">
        <f t="shared" si="10"/>
        <v>207147.17493333333</v>
      </c>
      <c r="AB27" s="410">
        <f t="shared" si="10"/>
        <v>207147.17493333333</v>
      </c>
      <c r="AC27" s="410">
        <f t="shared" si="10"/>
        <v>207147.17493333333</v>
      </c>
      <c r="AD27" s="410">
        <f t="shared" si="10"/>
        <v>207147.17493333333</v>
      </c>
      <c r="AE27" s="410">
        <f t="shared" si="10"/>
        <v>207147.17493333333</v>
      </c>
      <c r="AF27" s="410">
        <f t="shared" si="10"/>
        <v>207147.17493333333</v>
      </c>
      <c r="AG27" s="410">
        <f t="shared" si="10"/>
        <v>207147.17493333333</v>
      </c>
      <c r="AH27" s="410">
        <f t="shared" si="10"/>
        <v>207147.17493333333</v>
      </c>
      <c r="AI27" s="410">
        <f t="shared" si="10"/>
        <v>207147.17493333333</v>
      </c>
      <c r="AJ27" s="410">
        <f t="shared" si="10"/>
        <v>207147.17493333333</v>
      </c>
      <c r="AK27" s="410">
        <f t="shared" si="10"/>
        <v>207147.17493333333</v>
      </c>
      <c r="AL27" s="410">
        <f t="shared" si="10"/>
        <v>207147.17493333333</v>
      </c>
      <c r="AM27" s="410">
        <f t="shared" si="10"/>
        <v>207147.17493333333</v>
      </c>
      <c r="AN27" s="410">
        <f t="shared" si="10"/>
        <v>207147.17493333333</v>
      </c>
      <c r="AO27" s="410">
        <f t="shared" si="10"/>
        <v>207147.17493333333</v>
      </c>
      <c r="AP27" s="410">
        <f t="shared" si="10"/>
        <v>207147.17493333333</v>
      </c>
      <c r="AQ27" s="410">
        <f t="shared" si="10"/>
        <v>207147.17493333333</v>
      </c>
      <c r="AR27" s="410">
        <f t="shared" si="10"/>
        <v>207147.17493333333</v>
      </c>
      <c r="AS27" s="410">
        <f t="shared" si="10"/>
        <v>207147.17493333333</v>
      </c>
      <c r="AT27" s="410">
        <f t="shared" si="10"/>
        <v>207147.17493333333</v>
      </c>
      <c r="AU27" s="410">
        <f t="shared" si="10"/>
        <v>207147.17493333333</v>
      </c>
      <c r="AV27" s="410">
        <f t="shared" si="10"/>
        <v>207147.17493333333</v>
      </c>
      <c r="AW27" s="410">
        <f t="shared" si="10"/>
        <v>207147.17493333333</v>
      </c>
      <c r="AX27" s="410">
        <f t="shared" si="10"/>
        <v>207147.17493333333</v>
      </c>
      <c r="AY27" s="410">
        <f t="shared" si="10"/>
        <v>207147.17493333333</v>
      </c>
      <c r="AZ27" s="410">
        <f t="shared" si="10"/>
        <v>207147.17493333333</v>
      </c>
      <c r="BA27" s="410">
        <f t="shared" si="10"/>
        <v>207147.17493333333</v>
      </c>
      <c r="BB27" s="410">
        <f t="shared" si="10"/>
        <v>207147.17493333333</v>
      </c>
      <c r="BC27" s="410">
        <f t="shared" si="10"/>
        <v>207147.17493333333</v>
      </c>
      <c r="BD27" s="410">
        <f t="shared" si="10"/>
        <v>207147.17493333333</v>
      </c>
      <c r="BE27" s="410">
        <f t="shared" si="10"/>
        <v>207147.17493333333</v>
      </c>
      <c r="BF27" s="410">
        <f t="shared" si="10"/>
        <v>207147.17493333333</v>
      </c>
      <c r="BG27" s="410">
        <f t="shared" si="10"/>
        <v>207147.17493333333</v>
      </c>
      <c r="BH27" s="410">
        <f t="shared" si="10"/>
        <v>207147.17493333333</v>
      </c>
      <c r="BI27" s="410">
        <f t="shared" si="10"/>
        <v>207147.17493333333</v>
      </c>
      <c r="BJ27" s="410">
        <f t="shared" si="10"/>
        <v>207147.17493333333</v>
      </c>
      <c r="BK27" s="410">
        <f t="shared" si="10"/>
        <v>207147.17493333333</v>
      </c>
      <c r="BL27" s="410">
        <f t="shared" si="10"/>
        <v>207147.17493333333</v>
      </c>
      <c r="BM27" s="410">
        <f t="shared" si="10"/>
        <v>207147.17493333333</v>
      </c>
      <c r="BN27" s="410">
        <f t="shared" si="10"/>
        <v>207147.17493333333</v>
      </c>
      <c r="BO27" s="410">
        <f t="shared" si="10"/>
        <v>207147.17493333333</v>
      </c>
      <c r="BP27" s="410">
        <f t="shared" si="10"/>
        <v>207147.17493333333</v>
      </c>
      <c r="BQ27" s="410">
        <f t="shared" si="10"/>
        <v>207147.17493333333</v>
      </c>
      <c r="BR27" s="410">
        <f t="shared" si="10"/>
        <v>207147.17493333333</v>
      </c>
      <c r="BS27" s="410">
        <f t="shared" si="10"/>
        <v>207147.17493333333</v>
      </c>
      <c r="BT27" s="410">
        <f t="shared" ref="BT27:CL27" si="11">$D$27*BT16</f>
        <v>207147.17493333333</v>
      </c>
      <c r="BU27" s="410">
        <f t="shared" si="11"/>
        <v>207147.17493333333</v>
      </c>
      <c r="BV27" s="410">
        <f t="shared" si="11"/>
        <v>207147.17493333333</v>
      </c>
      <c r="BW27" s="410">
        <f t="shared" si="11"/>
        <v>207147.17493333333</v>
      </c>
      <c r="BX27" s="410">
        <f t="shared" si="11"/>
        <v>207147.17493333333</v>
      </c>
      <c r="BY27" s="410">
        <f t="shared" si="11"/>
        <v>207147.17493333333</v>
      </c>
      <c r="BZ27" s="410">
        <f t="shared" si="11"/>
        <v>207147.17493333333</v>
      </c>
      <c r="CA27" s="410">
        <f t="shared" si="11"/>
        <v>207147.17493333333</v>
      </c>
      <c r="CB27" s="410">
        <f t="shared" si="11"/>
        <v>207147.17493333333</v>
      </c>
      <c r="CC27" s="410">
        <f t="shared" si="11"/>
        <v>207147.17493333333</v>
      </c>
      <c r="CD27" s="410">
        <f t="shared" si="11"/>
        <v>207147.17493333333</v>
      </c>
      <c r="CE27" s="410">
        <f t="shared" si="11"/>
        <v>207147.17493333333</v>
      </c>
      <c r="CF27" s="410">
        <f t="shared" si="11"/>
        <v>207147.17493333333</v>
      </c>
      <c r="CG27" s="410">
        <f t="shared" si="11"/>
        <v>207147.17493333333</v>
      </c>
      <c r="CH27" s="410">
        <f t="shared" si="11"/>
        <v>207147.17493333333</v>
      </c>
      <c r="CI27" s="410">
        <f t="shared" si="11"/>
        <v>207147.17493333333</v>
      </c>
      <c r="CJ27" s="410">
        <f t="shared" si="11"/>
        <v>207147.17493333333</v>
      </c>
      <c r="CK27" s="410">
        <f t="shared" si="11"/>
        <v>207147.17493333333</v>
      </c>
      <c r="CL27" s="410">
        <f t="shared" si="11"/>
        <v>207147.17493333333</v>
      </c>
      <c r="CM27" s="410">
        <f t="shared" si="1"/>
        <v>207147.1749333331</v>
      </c>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row>
    <row r="28" spans="1:178">
      <c r="A28" s="1050"/>
      <c r="B28" s="2" t="s">
        <v>309</v>
      </c>
      <c r="C28" s="362" t="s">
        <v>142</v>
      </c>
      <c r="D28" s="362"/>
      <c r="E28" s="58"/>
      <c r="F28" s="413" t="s">
        <v>315</v>
      </c>
      <c r="G28" s="414">
        <f>(G29*G2+G30*G3+G31*G4+G32*G5)/SUM(G29:G32)</f>
        <v>27046.364124149582</v>
      </c>
      <c r="H28" s="414">
        <f t="shared" ref="H28:BS28" si="12">(H29*H2+H30*H3+H31*H4+H32*H5)/SUM(H29:H32)</f>
        <v>27862.27788339568</v>
      </c>
      <c r="I28" s="414">
        <f t="shared" si="12"/>
        <v>29106.547757969009</v>
      </c>
      <c r="J28" s="414">
        <f t="shared" si="12"/>
        <v>26622.001379521578</v>
      </c>
      <c r="K28" s="414">
        <f t="shared" si="12"/>
        <v>26122.99196868408</v>
      </c>
      <c r="L28" s="414">
        <f t="shared" si="12"/>
        <v>26329.32082427607</v>
      </c>
      <c r="M28" s="414">
        <f t="shared" si="12"/>
        <v>25845.330210218599</v>
      </c>
      <c r="N28" s="414">
        <f t="shared" si="12"/>
        <v>26065.877925593693</v>
      </c>
      <c r="O28" s="414">
        <f t="shared" si="12"/>
        <v>25971.07998474054</v>
      </c>
      <c r="P28" s="414">
        <f t="shared" si="12"/>
        <v>25737.681118589175</v>
      </c>
      <c r="Q28" s="414">
        <f t="shared" si="12"/>
        <v>26323.859799690184</v>
      </c>
      <c r="R28" s="414">
        <f t="shared" si="12"/>
        <v>26163.019937767924</v>
      </c>
      <c r="S28" s="414">
        <f t="shared" si="12"/>
        <v>25714.596630753786</v>
      </c>
      <c r="T28" s="414">
        <f t="shared" si="12"/>
        <v>25008.240015403389</v>
      </c>
      <c r="U28" s="414">
        <f t="shared" si="12"/>
        <v>24012.622523622671</v>
      </c>
      <c r="V28" s="414">
        <f t="shared" si="12"/>
        <v>24374.579497475283</v>
      </c>
      <c r="W28" s="414">
        <f t="shared" si="12"/>
        <v>24164.663380872109</v>
      </c>
      <c r="X28" s="414">
        <f t="shared" si="12"/>
        <v>22860.779592999803</v>
      </c>
      <c r="Y28" s="414">
        <f t="shared" si="12"/>
        <v>21985.92094233392</v>
      </c>
      <c r="Z28" s="414">
        <f t="shared" si="12"/>
        <v>22302.896412019691</v>
      </c>
      <c r="AA28" s="414">
        <f t="shared" si="12"/>
        <v>22323.755169966516</v>
      </c>
      <c r="AB28" s="414">
        <f t="shared" si="12"/>
        <v>24128.895482762979</v>
      </c>
      <c r="AC28" s="414">
        <f t="shared" si="12"/>
        <v>23601.566186085573</v>
      </c>
      <c r="AD28" s="414">
        <f t="shared" si="12"/>
        <v>23963.398332694804</v>
      </c>
      <c r="AE28" s="414">
        <f t="shared" si="12"/>
        <v>23273.155181508184</v>
      </c>
      <c r="AF28" s="414">
        <f t="shared" si="12"/>
        <v>23249.467060341798</v>
      </c>
      <c r="AG28" s="414">
        <f t="shared" si="12"/>
        <v>24187.356369057037</v>
      </c>
      <c r="AH28" s="414">
        <f t="shared" si="12"/>
        <v>25757.72603870527</v>
      </c>
      <c r="AI28" s="414">
        <f t="shared" si="12"/>
        <v>24403.941470739839</v>
      </c>
      <c r="AJ28" s="414">
        <f t="shared" si="12"/>
        <v>22456.61990613538</v>
      </c>
      <c r="AK28" s="414">
        <f t="shared" si="12"/>
        <v>23168.795622406877</v>
      </c>
      <c r="AL28" s="414">
        <f t="shared" si="12"/>
        <v>23032.476475757412</v>
      </c>
      <c r="AM28" s="414">
        <f t="shared" si="12"/>
        <v>23184.427630585276</v>
      </c>
      <c r="AN28" s="414">
        <f t="shared" si="12"/>
        <v>22788.958080123335</v>
      </c>
      <c r="AO28" s="414">
        <f t="shared" si="12"/>
        <v>22646.049031788923</v>
      </c>
      <c r="AP28" s="414">
        <f t="shared" si="12"/>
        <v>22827.368595205324</v>
      </c>
      <c r="AQ28" s="414">
        <f t="shared" si="12"/>
        <v>23741.1830123568</v>
      </c>
      <c r="AR28" s="414">
        <f t="shared" si="12"/>
        <v>23346.451213263575</v>
      </c>
      <c r="AS28" s="414">
        <f t="shared" si="12"/>
        <v>23741.281920097725</v>
      </c>
      <c r="AT28" s="414">
        <f t="shared" si="12"/>
        <v>23054.901049735094</v>
      </c>
      <c r="AU28" s="414">
        <f t="shared" si="12"/>
        <v>24947.130832700168</v>
      </c>
      <c r="AV28" s="414">
        <f t="shared" si="12"/>
        <v>23096.458697573402</v>
      </c>
      <c r="AW28" s="414">
        <f t="shared" si="12"/>
        <v>23769.864803228622</v>
      </c>
      <c r="AX28" s="414">
        <f t="shared" si="12"/>
        <v>24563.037940397928</v>
      </c>
      <c r="AY28" s="414">
        <f t="shared" si="12"/>
        <v>24799.137456974149</v>
      </c>
      <c r="AZ28" s="414">
        <f t="shared" si="12"/>
        <v>25255.864546023393</v>
      </c>
      <c r="BA28" s="414">
        <f t="shared" si="12"/>
        <v>25281.55773046285</v>
      </c>
      <c r="BB28" s="414">
        <f t="shared" si="12"/>
        <v>26181.344823626052</v>
      </c>
      <c r="BC28" s="414">
        <f t="shared" si="12"/>
        <v>27278.759513465575</v>
      </c>
      <c r="BD28" s="414">
        <f t="shared" si="12"/>
        <v>26745.553144935424</v>
      </c>
      <c r="BE28" s="414">
        <f t="shared" si="12"/>
        <v>29685.422023385559</v>
      </c>
      <c r="BF28" s="414">
        <f t="shared" si="12"/>
        <v>27527.555186235131</v>
      </c>
      <c r="BG28" s="414">
        <f t="shared" si="12"/>
        <v>26154.414005641567</v>
      </c>
      <c r="BH28" s="414">
        <f t="shared" si="12"/>
        <v>25507.210496070555</v>
      </c>
      <c r="BI28" s="414">
        <f t="shared" si="12"/>
        <v>25878.841861339351</v>
      </c>
      <c r="BJ28" s="414">
        <f t="shared" si="12"/>
        <v>25650.409620350114</v>
      </c>
      <c r="BK28" s="414">
        <f t="shared" si="12"/>
        <v>25467.226196656946</v>
      </c>
      <c r="BL28" s="414">
        <f t="shared" si="12"/>
        <v>24686.387455674678</v>
      </c>
      <c r="BM28" s="414">
        <f t="shared" si="12"/>
        <v>24914.097491743909</v>
      </c>
      <c r="BN28" s="414">
        <f t="shared" si="12"/>
        <v>25118.724258135604</v>
      </c>
      <c r="BO28" s="414">
        <f t="shared" si="12"/>
        <v>24683.304580037457</v>
      </c>
      <c r="BP28" s="414">
        <f t="shared" si="12"/>
        <v>25293.637189629699</v>
      </c>
      <c r="BQ28" s="414">
        <f t="shared" si="12"/>
        <v>24961.186400504368</v>
      </c>
      <c r="BR28" s="414">
        <f t="shared" si="12"/>
        <v>24342.35535196387</v>
      </c>
      <c r="BS28" s="414">
        <f t="shared" si="12"/>
        <v>23766.678906987559</v>
      </c>
      <c r="BT28" s="414">
        <f t="shared" ref="BT28:CL28" si="13">(BT29*BT2+BT30*BT3+BT31*BT4+BT32*BT5)/SUM(BT29:BT32)</f>
        <v>24076.957726123914</v>
      </c>
      <c r="BU28" s="414">
        <f t="shared" si="13"/>
        <v>21911.836424321551</v>
      </c>
      <c r="BV28" s="414">
        <f t="shared" si="13"/>
        <v>22392.017642916639</v>
      </c>
      <c r="BW28" s="414">
        <f t="shared" si="13"/>
        <v>22419.415576284882</v>
      </c>
      <c r="BX28" s="414">
        <f t="shared" si="13"/>
        <v>21807.687495331618</v>
      </c>
      <c r="BY28" s="414">
        <f t="shared" si="13"/>
        <v>22472.515244173719</v>
      </c>
      <c r="BZ28" s="414">
        <f t="shared" si="13"/>
        <v>23928.016966107163</v>
      </c>
      <c r="CA28" s="414">
        <f t="shared" si="13"/>
        <v>21771.219941830437</v>
      </c>
      <c r="CB28" s="414">
        <f t="shared" si="13"/>
        <v>23895.722677219557</v>
      </c>
      <c r="CC28" s="414">
        <f t="shared" si="13"/>
        <v>23627.304504171803</v>
      </c>
      <c r="CD28" s="414">
        <f t="shared" si="13"/>
        <v>22720.98244924036</v>
      </c>
      <c r="CE28" s="414">
        <f t="shared" si="13"/>
        <v>23487.201590376368</v>
      </c>
      <c r="CF28" s="414">
        <f t="shared" si="13"/>
        <v>23668.982986044357</v>
      </c>
      <c r="CG28" s="414">
        <f t="shared" si="13"/>
        <v>23416.862044580663</v>
      </c>
      <c r="CH28" s="414">
        <f t="shared" si="13"/>
        <v>23794.477845156034</v>
      </c>
      <c r="CI28" s="414">
        <f t="shared" si="13"/>
        <v>24279.536607384085</v>
      </c>
      <c r="CJ28" s="414">
        <f t="shared" si="13"/>
        <v>25952.596802387332</v>
      </c>
      <c r="CK28" s="414">
        <f t="shared" si="13"/>
        <v>26721.010733861011</v>
      </c>
      <c r="CL28" s="414">
        <f t="shared" si="13"/>
        <v>27484.380893705897</v>
      </c>
      <c r="CM28" s="414">
        <f t="shared" si="1"/>
        <v>24570.039433385195</v>
      </c>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row>
    <row r="29" spans="1:178">
      <c r="A29" s="1050"/>
      <c r="B29" s="2" t="s">
        <v>309</v>
      </c>
      <c r="C29" s="362" t="s">
        <v>310</v>
      </c>
      <c r="D29" s="362">
        <v>0.622</v>
      </c>
      <c r="E29" s="58"/>
      <c r="F29" s="27" t="s">
        <v>174</v>
      </c>
      <c r="G29" s="411">
        <f>$D$29*G12</f>
        <v>55980</v>
      </c>
      <c r="H29" s="411">
        <f t="shared" ref="H29:BS29" si="14">$D$29*H12</f>
        <v>55980</v>
      </c>
      <c r="I29" s="411">
        <f t="shared" si="14"/>
        <v>55980</v>
      </c>
      <c r="J29" s="411">
        <f t="shared" si="14"/>
        <v>55980</v>
      </c>
      <c r="K29" s="411">
        <f t="shared" si="14"/>
        <v>55980</v>
      </c>
      <c r="L29" s="411">
        <f t="shared" si="14"/>
        <v>55980</v>
      </c>
      <c r="M29" s="411">
        <f t="shared" si="14"/>
        <v>55980</v>
      </c>
      <c r="N29" s="411">
        <f t="shared" si="14"/>
        <v>55980</v>
      </c>
      <c r="O29" s="411">
        <f t="shared" si="14"/>
        <v>55980</v>
      </c>
      <c r="P29" s="411">
        <f t="shared" si="14"/>
        <v>55980</v>
      </c>
      <c r="Q29" s="411">
        <f t="shared" si="14"/>
        <v>55980</v>
      </c>
      <c r="R29" s="411">
        <f t="shared" si="14"/>
        <v>55980</v>
      </c>
      <c r="S29" s="411">
        <f t="shared" si="14"/>
        <v>55980</v>
      </c>
      <c r="T29" s="411">
        <f t="shared" si="14"/>
        <v>55980</v>
      </c>
      <c r="U29" s="411">
        <f t="shared" si="14"/>
        <v>55980</v>
      </c>
      <c r="V29" s="411">
        <f t="shared" si="14"/>
        <v>55980</v>
      </c>
      <c r="W29" s="411">
        <f t="shared" si="14"/>
        <v>55980</v>
      </c>
      <c r="X29" s="411">
        <f t="shared" si="14"/>
        <v>55980</v>
      </c>
      <c r="Y29" s="411">
        <f t="shared" si="14"/>
        <v>55980</v>
      </c>
      <c r="Z29" s="411">
        <f t="shared" si="14"/>
        <v>55980</v>
      </c>
      <c r="AA29" s="411">
        <f t="shared" si="14"/>
        <v>55980</v>
      </c>
      <c r="AB29" s="411">
        <f t="shared" si="14"/>
        <v>55980</v>
      </c>
      <c r="AC29" s="411">
        <f t="shared" si="14"/>
        <v>55980</v>
      </c>
      <c r="AD29" s="411">
        <f t="shared" si="14"/>
        <v>55980</v>
      </c>
      <c r="AE29" s="411">
        <f t="shared" si="14"/>
        <v>55980</v>
      </c>
      <c r="AF29" s="411">
        <f t="shared" si="14"/>
        <v>55980</v>
      </c>
      <c r="AG29" s="411">
        <f t="shared" si="14"/>
        <v>55980</v>
      </c>
      <c r="AH29" s="411">
        <f t="shared" si="14"/>
        <v>55980</v>
      </c>
      <c r="AI29" s="411">
        <f t="shared" si="14"/>
        <v>55980</v>
      </c>
      <c r="AJ29" s="411">
        <f t="shared" si="14"/>
        <v>55980</v>
      </c>
      <c r="AK29" s="411">
        <f t="shared" si="14"/>
        <v>55980</v>
      </c>
      <c r="AL29" s="411">
        <f t="shared" si="14"/>
        <v>55980</v>
      </c>
      <c r="AM29" s="411">
        <f t="shared" si="14"/>
        <v>55980</v>
      </c>
      <c r="AN29" s="411">
        <f t="shared" si="14"/>
        <v>55980</v>
      </c>
      <c r="AO29" s="411">
        <f t="shared" si="14"/>
        <v>55980</v>
      </c>
      <c r="AP29" s="411">
        <f t="shared" si="14"/>
        <v>55980</v>
      </c>
      <c r="AQ29" s="411">
        <f t="shared" si="14"/>
        <v>55980</v>
      </c>
      <c r="AR29" s="411">
        <f t="shared" si="14"/>
        <v>55980</v>
      </c>
      <c r="AS29" s="411">
        <f t="shared" si="14"/>
        <v>55980</v>
      </c>
      <c r="AT29" s="411">
        <f t="shared" si="14"/>
        <v>55980</v>
      </c>
      <c r="AU29" s="411">
        <f t="shared" si="14"/>
        <v>55980</v>
      </c>
      <c r="AV29" s="411">
        <f t="shared" si="14"/>
        <v>55980</v>
      </c>
      <c r="AW29" s="411">
        <f t="shared" si="14"/>
        <v>55980</v>
      </c>
      <c r="AX29" s="411">
        <f t="shared" si="14"/>
        <v>55980</v>
      </c>
      <c r="AY29" s="411">
        <f t="shared" si="14"/>
        <v>55980</v>
      </c>
      <c r="AZ29" s="411">
        <f t="shared" si="14"/>
        <v>55980</v>
      </c>
      <c r="BA29" s="411">
        <f t="shared" si="14"/>
        <v>55980</v>
      </c>
      <c r="BB29" s="411">
        <f t="shared" si="14"/>
        <v>55980</v>
      </c>
      <c r="BC29" s="411">
        <f t="shared" si="14"/>
        <v>55980</v>
      </c>
      <c r="BD29" s="411">
        <f t="shared" si="14"/>
        <v>55980</v>
      </c>
      <c r="BE29" s="411">
        <f t="shared" si="14"/>
        <v>55980</v>
      </c>
      <c r="BF29" s="411">
        <f t="shared" si="14"/>
        <v>55980</v>
      </c>
      <c r="BG29" s="411">
        <f t="shared" si="14"/>
        <v>55980</v>
      </c>
      <c r="BH29" s="411">
        <f t="shared" si="14"/>
        <v>55980</v>
      </c>
      <c r="BI29" s="411">
        <f t="shared" si="14"/>
        <v>55980</v>
      </c>
      <c r="BJ29" s="411">
        <f t="shared" si="14"/>
        <v>55980</v>
      </c>
      <c r="BK29" s="411">
        <f t="shared" si="14"/>
        <v>55980</v>
      </c>
      <c r="BL29" s="411">
        <f t="shared" si="14"/>
        <v>55980</v>
      </c>
      <c r="BM29" s="411">
        <f t="shared" si="14"/>
        <v>55980</v>
      </c>
      <c r="BN29" s="411">
        <f t="shared" si="14"/>
        <v>55980</v>
      </c>
      <c r="BO29" s="411">
        <f t="shared" si="14"/>
        <v>55980</v>
      </c>
      <c r="BP29" s="411">
        <f t="shared" si="14"/>
        <v>55980</v>
      </c>
      <c r="BQ29" s="411">
        <f t="shared" si="14"/>
        <v>55980</v>
      </c>
      <c r="BR29" s="411">
        <f t="shared" si="14"/>
        <v>55980</v>
      </c>
      <c r="BS29" s="411">
        <f t="shared" si="14"/>
        <v>55980</v>
      </c>
      <c r="BT29" s="411">
        <f t="shared" ref="BT29:CL29" si="15">$D$29*BT12</f>
        <v>55980</v>
      </c>
      <c r="BU29" s="411">
        <f t="shared" si="15"/>
        <v>55980</v>
      </c>
      <c r="BV29" s="411">
        <f t="shared" si="15"/>
        <v>55980</v>
      </c>
      <c r="BW29" s="411">
        <f t="shared" si="15"/>
        <v>55980</v>
      </c>
      <c r="BX29" s="411">
        <f t="shared" si="15"/>
        <v>55980</v>
      </c>
      <c r="BY29" s="411">
        <f t="shared" si="15"/>
        <v>55980</v>
      </c>
      <c r="BZ29" s="411">
        <f t="shared" si="15"/>
        <v>55980</v>
      </c>
      <c r="CA29" s="411">
        <f t="shared" si="15"/>
        <v>55980</v>
      </c>
      <c r="CB29" s="411">
        <f t="shared" si="15"/>
        <v>55980</v>
      </c>
      <c r="CC29" s="411">
        <f t="shared" si="15"/>
        <v>55980</v>
      </c>
      <c r="CD29" s="411">
        <f t="shared" si="15"/>
        <v>55980</v>
      </c>
      <c r="CE29" s="411">
        <f t="shared" si="15"/>
        <v>55980</v>
      </c>
      <c r="CF29" s="411">
        <f t="shared" si="15"/>
        <v>55980</v>
      </c>
      <c r="CG29" s="411">
        <f t="shared" si="15"/>
        <v>55980</v>
      </c>
      <c r="CH29" s="411">
        <f t="shared" si="15"/>
        <v>55980</v>
      </c>
      <c r="CI29" s="411">
        <f t="shared" si="15"/>
        <v>55980</v>
      </c>
      <c r="CJ29" s="411">
        <f t="shared" si="15"/>
        <v>55980</v>
      </c>
      <c r="CK29" s="411">
        <f t="shared" si="15"/>
        <v>55980</v>
      </c>
      <c r="CL29" s="411">
        <f t="shared" si="15"/>
        <v>55980</v>
      </c>
      <c r="CM29" s="411">
        <f t="shared" si="1"/>
        <v>55980</v>
      </c>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row>
    <row r="30" spans="1:178">
      <c r="A30" s="1050"/>
      <c r="B30" s="2" t="s">
        <v>309</v>
      </c>
      <c r="C30" s="362" t="s">
        <v>310</v>
      </c>
      <c r="D30" s="362">
        <v>1.4999999999999999E-2</v>
      </c>
      <c r="E30" s="58"/>
      <c r="F30" s="27" t="s">
        <v>175</v>
      </c>
      <c r="G30" s="411">
        <f>$D$30*G13</f>
        <v>306.25</v>
      </c>
      <c r="H30" s="411">
        <f t="shared" ref="H30:BS30" si="16">$D$30*H13</f>
        <v>306.25</v>
      </c>
      <c r="I30" s="411">
        <f t="shared" si="16"/>
        <v>306.25</v>
      </c>
      <c r="J30" s="411">
        <f t="shared" si="16"/>
        <v>306.25</v>
      </c>
      <c r="K30" s="411">
        <f t="shared" si="16"/>
        <v>306.25</v>
      </c>
      <c r="L30" s="411">
        <f t="shared" si="16"/>
        <v>306.25</v>
      </c>
      <c r="M30" s="411">
        <f t="shared" si="16"/>
        <v>306.25</v>
      </c>
      <c r="N30" s="411">
        <f t="shared" si="16"/>
        <v>306.25</v>
      </c>
      <c r="O30" s="411">
        <f t="shared" si="16"/>
        <v>306.25</v>
      </c>
      <c r="P30" s="411">
        <f t="shared" si="16"/>
        <v>306.25</v>
      </c>
      <c r="Q30" s="411">
        <f t="shared" si="16"/>
        <v>306.25</v>
      </c>
      <c r="R30" s="411">
        <f t="shared" si="16"/>
        <v>306.25</v>
      </c>
      <c r="S30" s="411">
        <f t="shared" si="16"/>
        <v>306.25</v>
      </c>
      <c r="T30" s="411">
        <f t="shared" si="16"/>
        <v>306.25</v>
      </c>
      <c r="U30" s="411">
        <f t="shared" si="16"/>
        <v>306.25</v>
      </c>
      <c r="V30" s="411">
        <f t="shared" si="16"/>
        <v>306.25</v>
      </c>
      <c r="W30" s="411">
        <f t="shared" si="16"/>
        <v>306.25</v>
      </c>
      <c r="X30" s="411">
        <f t="shared" si="16"/>
        <v>306.25</v>
      </c>
      <c r="Y30" s="411">
        <f t="shared" si="16"/>
        <v>306.25</v>
      </c>
      <c r="Z30" s="411">
        <f t="shared" si="16"/>
        <v>306.25</v>
      </c>
      <c r="AA30" s="411">
        <f t="shared" si="16"/>
        <v>306.25</v>
      </c>
      <c r="AB30" s="411">
        <f t="shared" si="16"/>
        <v>306.25</v>
      </c>
      <c r="AC30" s="411">
        <f t="shared" si="16"/>
        <v>306.25</v>
      </c>
      <c r="AD30" s="411">
        <f t="shared" si="16"/>
        <v>306.25</v>
      </c>
      <c r="AE30" s="411">
        <f t="shared" si="16"/>
        <v>306.25</v>
      </c>
      <c r="AF30" s="411">
        <f t="shared" si="16"/>
        <v>306.25</v>
      </c>
      <c r="AG30" s="411">
        <f t="shared" si="16"/>
        <v>306.25</v>
      </c>
      <c r="AH30" s="411">
        <f t="shared" si="16"/>
        <v>306.25</v>
      </c>
      <c r="AI30" s="411">
        <f t="shared" si="16"/>
        <v>306.25</v>
      </c>
      <c r="AJ30" s="411">
        <f t="shared" si="16"/>
        <v>306.25</v>
      </c>
      <c r="AK30" s="411">
        <f t="shared" si="16"/>
        <v>306.25</v>
      </c>
      <c r="AL30" s="411">
        <f t="shared" si="16"/>
        <v>306.25</v>
      </c>
      <c r="AM30" s="411">
        <f t="shared" si="16"/>
        <v>306.25</v>
      </c>
      <c r="AN30" s="411">
        <f t="shared" si="16"/>
        <v>306.25</v>
      </c>
      <c r="AO30" s="411">
        <f t="shared" si="16"/>
        <v>306.25</v>
      </c>
      <c r="AP30" s="411">
        <f t="shared" si="16"/>
        <v>306.25</v>
      </c>
      <c r="AQ30" s="411">
        <f t="shared" si="16"/>
        <v>306.25</v>
      </c>
      <c r="AR30" s="411">
        <f t="shared" si="16"/>
        <v>306.25</v>
      </c>
      <c r="AS30" s="411">
        <f t="shared" si="16"/>
        <v>306.25</v>
      </c>
      <c r="AT30" s="411">
        <f t="shared" si="16"/>
        <v>306.25</v>
      </c>
      <c r="AU30" s="411">
        <f t="shared" si="16"/>
        <v>306.25</v>
      </c>
      <c r="AV30" s="411">
        <f t="shared" si="16"/>
        <v>306.25</v>
      </c>
      <c r="AW30" s="411">
        <f t="shared" si="16"/>
        <v>306.25</v>
      </c>
      <c r="AX30" s="411">
        <f t="shared" si="16"/>
        <v>306.25</v>
      </c>
      <c r="AY30" s="411">
        <f t="shared" si="16"/>
        <v>306.25</v>
      </c>
      <c r="AZ30" s="411">
        <f t="shared" si="16"/>
        <v>306.25</v>
      </c>
      <c r="BA30" s="411">
        <f t="shared" si="16"/>
        <v>306.25</v>
      </c>
      <c r="BB30" s="411">
        <f t="shared" si="16"/>
        <v>306.25</v>
      </c>
      <c r="BC30" s="411">
        <f t="shared" si="16"/>
        <v>306.25</v>
      </c>
      <c r="BD30" s="411">
        <f t="shared" si="16"/>
        <v>306.25</v>
      </c>
      <c r="BE30" s="411">
        <f t="shared" si="16"/>
        <v>306.25</v>
      </c>
      <c r="BF30" s="411">
        <f t="shared" si="16"/>
        <v>306.25</v>
      </c>
      <c r="BG30" s="411">
        <f t="shared" si="16"/>
        <v>306.25</v>
      </c>
      <c r="BH30" s="411">
        <f t="shared" si="16"/>
        <v>306.25</v>
      </c>
      <c r="BI30" s="411">
        <f t="shared" si="16"/>
        <v>306.25</v>
      </c>
      <c r="BJ30" s="411">
        <f t="shared" si="16"/>
        <v>306.25</v>
      </c>
      <c r="BK30" s="411">
        <f t="shared" si="16"/>
        <v>306.25</v>
      </c>
      <c r="BL30" s="411">
        <f t="shared" si="16"/>
        <v>306.25</v>
      </c>
      <c r="BM30" s="411">
        <f t="shared" si="16"/>
        <v>306.25</v>
      </c>
      <c r="BN30" s="411">
        <f t="shared" si="16"/>
        <v>306.25</v>
      </c>
      <c r="BO30" s="411">
        <f t="shared" si="16"/>
        <v>306.25</v>
      </c>
      <c r="BP30" s="411">
        <f t="shared" si="16"/>
        <v>306.25</v>
      </c>
      <c r="BQ30" s="411">
        <f t="shared" si="16"/>
        <v>306.25</v>
      </c>
      <c r="BR30" s="411">
        <f t="shared" si="16"/>
        <v>306.25</v>
      </c>
      <c r="BS30" s="411">
        <f t="shared" si="16"/>
        <v>306.25</v>
      </c>
      <c r="BT30" s="411">
        <f t="shared" ref="BT30:CL30" si="17">$D$30*BT13</f>
        <v>306.25</v>
      </c>
      <c r="BU30" s="411">
        <f t="shared" si="17"/>
        <v>306.25</v>
      </c>
      <c r="BV30" s="411">
        <f t="shared" si="17"/>
        <v>306.25</v>
      </c>
      <c r="BW30" s="411">
        <f t="shared" si="17"/>
        <v>306.25</v>
      </c>
      <c r="BX30" s="411">
        <f t="shared" si="17"/>
        <v>306.25</v>
      </c>
      <c r="BY30" s="411">
        <f t="shared" si="17"/>
        <v>306.25</v>
      </c>
      <c r="BZ30" s="411">
        <f t="shared" si="17"/>
        <v>306.25</v>
      </c>
      <c r="CA30" s="411">
        <f t="shared" si="17"/>
        <v>306.25</v>
      </c>
      <c r="CB30" s="411">
        <f t="shared" si="17"/>
        <v>306.25</v>
      </c>
      <c r="CC30" s="411">
        <f t="shared" si="17"/>
        <v>306.25</v>
      </c>
      <c r="CD30" s="411">
        <f t="shared" si="17"/>
        <v>306.25</v>
      </c>
      <c r="CE30" s="411">
        <f t="shared" si="17"/>
        <v>306.25</v>
      </c>
      <c r="CF30" s="411">
        <f t="shared" si="17"/>
        <v>306.25</v>
      </c>
      <c r="CG30" s="411">
        <f t="shared" si="17"/>
        <v>306.25</v>
      </c>
      <c r="CH30" s="411">
        <f t="shared" si="17"/>
        <v>306.25</v>
      </c>
      <c r="CI30" s="411">
        <f t="shared" si="17"/>
        <v>306.25</v>
      </c>
      <c r="CJ30" s="411">
        <f t="shared" si="17"/>
        <v>306.25</v>
      </c>
      <c r="CK30" s="411">
        <f t="shared" si="17"/>
        <v>306.25</v>
      </c>
      <c r="CL30" s="411">
        <f t="shared" si="17"/>
        <v>306.25</v>
      </c>
      <c r="CM30" s="411">
        <f t="shared" si="1"/>
        <v>306.25</v>
      </c>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row>
    <row r="31" spans="1:178">
      <c r="A31" s="1050"/>
      <c r="B31" s="2" t="s">
        <v>309</v>
      </c>
      <c r="C31" s="362" t="s">
        <v>310</v>
      </c>
      <c r="D31" s="362">
        <v>1.9E-2</v>
      </c>
      <c r="E31" s="58"/>
      <c r="F31" s="27" t="s">
        <v>176</v>
      </c>
      <c r="G31" s="411">
        <f>$D$31*G14</f>
        <v>215.33333333333334</v>
      </c>
      <c r="H31" s="411">
        <f t="shared" ref="H31:BS31" si="18">$D$31*H14</f>
        <v>215.33333333333334</v>
      </c>
      <c r="I31" s="411">
        <f t="shared" si="18"/>
        <v>215.33333333333334</v>
      </c>
      <c r="J31" s="411">
        <f t="shared" si="18"/>
        <v>215.33333333333334</v>
      </c>
      <c r="K31" s="411">
        <f t="shared" si="18"/>
        <v>215.33333333333334</v>
      </c>
      <c r="L31" s="411">
        <f t="shared" si="18"/>
        <v>215.33333333333334</v>
      </c>
      <c r="M31" s="411">
        <f t="shared" si="18"/>
        <v>215.33333333333334</v>
      </c>
      <c r="N31" s="411">
        <f t="shared" si="18"/>
        <v>215.33333333333334</v>
      </c>
      <c r="O31" s="411">
        <f t="shared" si="18"/>
        <v>215.33333333333334</v>
      </c>
      <c r="P31" s="411">
        <f t="shared" si="18"/>
        <v>215.33333333333334</v>
      </c>
      <c r="Q31" s="411">
        <f t="shared" si="18"/>
        <v>215.33333333333334</v>
      </c>
      <c r="R31" s="411">
        <f t="shared" si="18"/>
        <v>215.33333333333334</v>
      </c>
      <c r="S31" s="411">
        <f t="shared" si="18"/>
        <v>215.33333333333334</v>
      </c>
      <c r="T31" s="411">
        <f t="shared" si="18"/>
        <v>215.33333333333334</v>
      </c>
      <c r="U31" s="411">
        <f t="shared" si="18"/>
        <v>215.33333333333334</v>
      </c>
      <c r="V31" s="411">
        <f t="shared" si="18"/>
        <v>215.33333333333334</v>
      </c>
      <c r="W31" s="411">
        <f t="shared" si="18"/>
        <v>215.33333333333334</v>
      </c>
      <c r="X31" s="411">
        <f t="shared" si="18"/>
        <v>215.33333333333334</v>
      </c>
      <c r="Y31" s="411">
        <f t="shared" si="18"/>
        <v>215.33333333333334</v>
      </c>
      <c r="Z31" s="411">
        <f t="shared" si="18"/>
        <v>215.33333333333334</v>
      </c>
      <c r="AA31" s="411">
        <f t="shared" si="18"/>
        <v>215.33333333333334</v>
      </c>
      <c r="AB31" s="411">
        <f t="shared" si="18"/>
        <v>215.33333333333334</v>
      </c>
      <c r="AC31" s="411">
        <f t="shared" si="18"/>
        <v>215.33333333333334</v>
      </c>
      <c r="AD31" s="411">
        <f t="shared" si="18"/>
        <v>215.33333333333334</v>
      </c>
      <c r="AE31" s="411">
        <f t="shared" si="18"/>
        <v>215.33333333333334</v>
      </c>
      <c r="AF31" s="411">
        <f t="shared" si="18"/>
        <v>215.33333333333334</v>
      </c>
      <c r="AG31" s="411">
        <f t="shared" si="18"/>
        <v>215.33333333333334</v>
      </c>
      <c r="AH31" s="411">
        <f t="shared" si="18"/>
        <v>215.33333333333334</v>
      </c>
      <c r="AI31" s="411">
        <f t="shared" si="18"/>
        <v>215.33333333333334</v>
      </c>
      <c r="AJ31" s="411">
        <f t="shared" si="18"/>
        <v>215.33333333333334</v>
      </c>
      <c r="AK31" s="411">
        <f t="shared" si="18"/>
        <v>215.33333333333334</v>
      </c>
      <c r="AL31" s="411">
        <f t="shared" si="18"/>
        <v>215.33333333333334</v>
      </c>
      <c r="AM31" s="411">
        <f t="shared" si="18"/>
        <v>215.33333333333334</v>
      </c>
      <c r="AN31" s="411">
        <f t="shared" si="18"/>
        <v>215.33333333333334</v>
      </c>
      <c r="AO31" s="411">
        <f t="shared" si="18"/>
        <v>215.33333333333334</v>
      </c>
      <c r="AP31" s="411">
        <f t="shared" si="18"/>
        <v>215.33333333333334</v>
      </c>
      <c r="AQ31" s="411">
        <f t="shared" si="18"/>
        <v>215.33333333333334</v>
      </c>
      <c r="AR31" s="411">
        <f t="shared" si="18"/>
        <v>215.33333333333334</v>
      </c>
      <c r="AS31" s="411">
        <f t="shared" si="18"/>
        <v>215.33333333333334</v>
      </c>
      <c r="AT31" s="411">
        <f t="shared" si="18"/>
        <v>215.33333333333334</v>
      </c>
      <c r="AU31" s="411">
        <f t="shared" si="18"/>
        <v>215.33333333333334</v>
      </c>
      <c r="AV31" s="411">
        <f t="shared" si="18"/>
        <v>215.33333333333334</v>
      </c>
      <c r="AW31" s="411">
        <f t="shared" si="18"/>
        <v>215.33333333333334</v>
      </c>
      <c r="AX31" s="411">
        <f t="shared" si="18"/>
        <v>215.33333333333334</v>
      </c>
      <c r="AY31" s="411">
        <f t="shared" si="18"/>
        <v>215.33333333333334</v>
      </c>
      <c r="AZ31" s="411">
        <f t="shared" si="18"/>
        <v>215.33333333333334</v>
      </c>
      <c r="BA31" s="411">
        <f t="shared" si="18"/>
        <v>215.33333333333334</v>
      </c>
      <c r="BB31" s="411">
        <f t="shared" si="18"/>
        <v>215.33333333333334</v>
      </c>
      <c r="BC31" s="411">
        <f t="shared" si="18"/>
        <v>215.33333333333334</v>
      </c>
      <c r="BD31" s="411">
        <f t="shared" si="18"/>
        <v>215.33333333333334</v>
      </c>
      <c r="BE31" s="411">
        <f t="shared" si="18"/>
        <v>215.33333333333334</v>
      </c>
      <c r="BF31" s="411">
        <f t="shared" si="18"/>
        <v>215.33333333333334</v>
      </c>
      <c r="BG31" s="411">
        <f t="shared" si="18"/>
        <v>215.33333333333334</v>
      </c>
      <c r="BH31" s="411">
        <f t="shared" si="18"/>
        <v>215.33333333333334</v>
      </c>
      <c r="BI31" s="411">
        <f t="shared" si="18"/>
        <v>215.33333333333334</v>
      </c>
      <c r="BJ31" s="411">
        <f t="shared" si="18"/>
        <v>215.33333333333334</v>
      </c>
      <c r="BK31" s="411">
        <f t="shared" si="18"/>
        <v>215.33333333333334</v>
      </c>
      <c r="BL31" s="411">
        <f t="shared" si="18"/>
        <v>215.33333333333334</v>
      </c>
      <c r="BM31" s="411">
        <f t="shared" si="18"/>
        <v>215.33333333333334</v>
      </c>
      <c r="BN31" s="411">
        <f t="shared" si="18"/>
        <v>215.33333333333334</v>
      </c>
      <c r="BO31" s="411">
        <f t="shared" si="18"/>
        <v>215.33333333333334</v>
      </c>
      <c r="BP31" s="411">
        <f t="shared" si="18"/>
        <v>215.33333333333334</v>
      </c>
      <c r="BQ31" s="411">
        <f t="shared" si="18"/>
        <v>215.33333333333334</v>
      </c>
      <c r="BR31" s="411">
        <f t="shared" si="18"/>
        <v>215.33333333333334</v>
      </c>
      <c r="BS31" s="411">
        <f t="shared" si="18"/>
        <v>215.33333333333334</v>
      </c>
      <c r="BT31" s="411">
        <f t="shared" ref="BT31:CL31" si="19">$D$31*BT14</f>
        <v>215.33333333333334</v>
      </c>
      <c r="BU31" s="411">
        <f t="shared" si="19"/>
        <v>215.33333333333334</v>
      </c>
      <c r="BV31" s="411">
        <f t="shared" si="19"/>
        <v>215.33333333333334</v>
      </c>
      <c r="BW31" s="411">
        <f t="shared" si="19"/>
        <v>215.33333333333334</v>
      </c>
      <c r="BX31" s="411">
        <f t="shared" si="19"/>
        <v>215.33333333333334</v>
      </c>
      <c r="BY31" s="411">
        <f t="shared" si="19"/>
        <v>215.33333333333334</v>
      </c>
      <c r="BZ31" s="411">
        <f t="shared" si="19"/>
        <v>215.33333333333334</v>
      </c>
      <c r="CA31" s="411">
        <f t="shared" si="19"/>
        <v>215.33333333333334</v>
      </c>
      <c r="CB31" s="411">
        <f t="shared" si="19"/>
        <v>215.33333333333334</v>
      </c>
      <c r="CC31" s="411">
        <f t="shared" si="19"/>
        <v>215.33333333333334</v>
      </c>
      <c r="CD31" s="411">
        <f t="shared" si="19"/>
        <v>215.33333333333334</v>
      </c>
      <c r="CE31" s="411">
        <f t="shared" si="19"/>
        <v>215.33333333333334</v>
      </c>
      <c r="CF31" s="411">
        <f t="shared" si="19"/>
        <v>215.33333333333334</v>
      </c>
      <c r="CG31" s="411">
        <f t="shared" si="19"/>
        <v>215.33333333333334</v>
      </c>
      <c r="CH31" s="411">
        <f t="shared" si="19"/>
        <v>215.33333333333334</v>
      </c>
      <c r="CI31" s="411">
        <f t="shared" si="19"/>
        <v>215.33333333333334</v>
      </c>
      <c r="CJ31" s="411">
        <f t="shared" si="19"/>
        <v>215.33333333333334</v>
      </c>
      <c r="CK31" s="411">
        <f t="shared" si="19"/>
        <v>215.33333333333334</v>
      </c>
      <c r="CL31" s="411">
        <f t="shared" si="19"/>
        <v>215.33333333333334</v>
      </c>
      <c r="CM31" s="411">
        <f t="shared" si="1"/>
        <v>215.33333333333346</v>
      </c>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row>
    <row r="32" spans="1:178">
      <c r="A32" s="1050"/>
      <c r="B32" s="2" t="s">
        <v>309</v>
      </c>
      <c r="C32" s="362" t="s">
        <v>310</v>
      </c>
      <c r="D32" s="362">
        <v>1.1900000000000001E-2</v>
      </c>
      <c r="E32" s="58"/>
      <c r="F32" s="27" t="s">
        <v>177</v>
      </c>
      <c r="G32" s="411">
        <f>$D$32*G15</f>
        <v>1062.075</v>
      </c>
      <c r="H32" s="411">
        <f t="shared" ref="H32:BS32" si="20">$D$32*H15</f>
        <v>1062.075</v>
      </c>
      <c r="I32" s="411">
        <f t="shared" si="20"/>
        <v>1062.075</v>
      </c>
      <c r="J32" s="411">
        <f t="shared" si="20"/>
        <v>1062.075</v>
      </c>
      <c r="K32" s="411">
        <f t="shared" si="20"/>
        <v>1062.075</v>
      </c>
      <c r="L32" s="411">
        <f t="shared" si="20"/>
        <v>1062.075</v>
      </c>
      <c r="M32" s="411">
        <f t="shared" si="20"/>
        <v>1062.075</v>
      </c>
      <c r="N32" s="411">
        <f t="shared" si="20"/>
        <v>1062.075</v>
      </c>
      <c r="O32" s="411">
        <f t="shared" si="20"/>
        <v>1062.075</v>
      </c>
      <c r="P32" s="411">
        <f t="shared" si="20"/>
        <v>1062.075</v>
      </c>
      <c r="Q32" s="411">
        <f t="shared" si="20"/>
        <v>1062.075</v>
      </c>
      <c r="R32" s="411">
        <f t="shared" si="20"/>
        <v>1062.075</v>
      </c>
      <c r="S32" s="411">
        <f t="shared" si="20"/>
        <v>1062.075</v>
      </c>
      <c r="T32" s="411">
        <f t="shared" si="20"/>
        <v>1062.075</v>
      </c>
      <c r="U32" s="411">
        <f t="shared" si="20"/>
        <v>1062.075</v>
      </c>
      <c r="V32" s="411">
        <f t="shared" si="20"/>
        <v>1062.075</v>
      </c>
      <c r="W32" s="411">
        <f t="shared" si="20"/>
        <v>1062.075</v>
      </c>
      <c r="X32" s="411">
        <f t="shared" si="20"/>
        <v>1062.075</v>
      </c>
      <c r="Y32" s="411">
        <f t="shared" si="20"/>
        <v>1062.075</v>
      </c>
      <c r="Z32" s="411">
        <f t="shared" si="20"/>
        <v>1062.075</v>
      </c>
      <c r="AA32" s="411">
        <f t="shared" si="20"/>
        <v>1062.075</v>
      </c>
      <c r="AB32" s="411">
        <f t="shared" si="20"/>
        <v>1062.075</v>
      </c>
      <c r="AC32" s="411">
        <f t="shared" si="20"/>
        <v>1062.075</v>
      </c>
      <c r="AD32" s="411">
        <f t="shared" si="20"/>
        <v>1062.075</v>
      </c>
      <c r="AE32" s="411">
        <f t="shared" si="20"/>
        <v>1062.075</v>
      </c>
      <c r="AF32" s="411">
        <f t="shared" si="20"/>
        <v>1062.075</v>
      </c>
      <c r="AG32" s="411">
        <f t="shared" si="20"/>
        <v>1062.075</v>
      </c>
      <c r="AH32" s="411">
        <f t="shared" si="20"/>
        <v>1062.075</v>
      </c>
      <c r="AI32" s="411">
        <f t="shared" si="20"/>
        <v>1062.075</v>
      </c>
      <c r="AJ32" s="411">
        <f t="shared" si="20"/>
        <v>1062.075</v>
      </c>
      <c r="AK32" s="411">
        <f t="shared" si="20"/>
        <v>1062.075</v>
      </c>
      <c r="AL32" s="411">
        <f t="shared" si="20"/>
        <v>1062.075</v>
      </c>
      <c r="AM32" s="411">
        <f t="shared" si="20"/>
        <v>1062.075</v>
      </c>
      <c r="AN32" s="411">
        <f t="shared" si="20"/>
        <v>1062.075</v>
      </c>
      <c r="AO32" s="411">
        <f t="shared" si="20"/>
        <v>1062.075</v>
      </c>
      <c r="AP32" s="411">
        <f t="shared" si="20"/>
        <v>1062.075</v>
      </c>
      <c r="AQ32" s="411">
        <f t="shared" si="20"/>
        <v>1062.075</v>
      </c>
      <c r="AR32" s="411">
        <f t="shared" si="20"/>
        <v>1062.075</v>
      </c>
      <c r="AS32" s="411">
        <f t="shared" si="20"/>
        <v>1062.075</v>
      </c>
      <c r="AT32" s="411">
        <f t="shared" si="20"/>
        <v>1062.075</v>
      </c>
      <c r="AU32" s="411">
        <f t="shared" si="20"/>
        <v>1062.075</v>
      </c>
      <c r="AV32" s="411">
        <f t="shared" si="20"/>
        <v>1062.075</v>
      </c>
      <c r="AW32" s="411">
        <f t="shared" si="20"/>
        <v>1062.075</v>
      </c>
      <c r="AX32" s="411">
        <f t="shared" si="20"/>
        <v>1062.075</v>
      </c>
      <c r="AY32" s="411">
        <f t="shared" si="20"/>
        <v>1062.075</v>
      </c>
      <c r="AZ32" s="411">
        <f t="shared" si="20"/>
        <v>1062.075</v>
      </c>
      <c r="BA32" s="411">
        <f t="shared" si="20"/>
        <v>1062.075</v>
      </c>
      <c r="BB32" s="411">
        <f t="shared" si="20"/>
        <v>1062.075</v>
      </c>
      <c r="BC32" s="411">
        <f t="shared" si="20"/>
        <v>1062.075</v>
      </c>
      <c r="BD32" s="411">
        <f t="shared" si="20"/>
        <v>1062.075</v>
      </c>
      <c r="BE32" s="411">
        <f t="shared" si="20"/>
        <v>1062.075</v>
      </c>
      <c r="BF32" s="411">
        <f t="shared" si="20"/>
        <v>1062.075</v>
      </c>
      <c r="BG32" s="411">
        <f t="shared" si="20"/>
        <v>1062.075</v>
      </c>
      <c r="BH32" s="411">
        <f t="shared" si="20"/>
        <v>1062.075</v>
      </c>
      <c r="BI32" s="411">
        <f t="shared" si="20"/>
        <v>1062.075</v>
      </c>
      <c r="BJ32" s="411">
        <f t="shared" si="20"/>
        <v>1062.075</v>
      </c>
      <c r="BK32" s="411">
        <f t="shared" si="20"/>
        <v>1062.075</v>
      </c>
      <c r="BL32" s="411">
        <f t="shared" si="20"/>
        <v>1062.075</v>
      </c>
      <c r="BM32" s="411">
        <f t="shared" si="20"/>
        <v>1062.075</v>
      </c>
      <c r="BN32" s="411">
        <f t="shared" si="20"/>
        <v>1062.075</v>
      </c>
      <c r="BO32" s="411">
        <f t="shared" si="20"/>
        <v>1062.075</v>
      </c>
      <c r="BP32" s="411">
        <f t="shared" si="20"/>
        <v>1062.075</v>
      </c>
      <c r="BQ32" s="411">
        <f t="shared" si="20"/>
        <v>1062.075</v>
      </c>
      <c r="BR32" s="411">
        <f t="shared" si="20"/>
        <v>1062.075</v>
      </c>
      <c r="BS32" s="411">
        <f t="shared" si="20"/>
        <v>1062.075</v>
      </c>
      <c r="BT32" s="411">
        <f t="shared" ref="BT32:CL32" si="21">$D$32*BT15</f>
        <v>1062.075</v>
      </c>
      <c r="BU32" s="411">
        <f t="shared" si="21"/>
        <v>1062.075</v>
      </c>
      <c r="BV32" s="411">
        <f t="shared" si="21"/>
        <v>1062.075</v>
      </c>
      <c r="BW32" s="411">
        <f t="shared" si="21"/>
        <v>1062.075</v>
      </c>
      <c r="BX32" s="411">
        <f t="shared" si="21"/>
        <v>1062.075</v>
      </c>
      <c r="BY32" s="411">
        <f t="shared" si="21"/>
        <v>1062.075</v>
      </c>
      <c r="BZ32" s="411">
        <f t="shared" si="21"/>
        <v>1062.075</v>
      </c>
      <c r="CA32" s="411">
        <f t="shared" si="21"/>
        <v>1062.075</v>
      </c>
      <c r="CB32" s="411">
        <f t="shared" si="21"/>
        <v>1062.075</v>
      </c>
      <c r="CC32" s="411">
        <f t="shared" si="21"/>
        <v>1062.075</v>
      </c>
      <c r="CD32" s="411">
        <f t="shared" si="21"/>
        <v>1062.075</v>
      </c>
      <c r="CE32" s="411">
        <f t="shared" si="21"/>
        <v>1062.075</v>
      </c>
      <c r="CF32" s="411">
        <f t="shared" si="21"/>
        <v>1062.075</v>
      </c>
      <c r="CG32" s="411">
        <f t="shared" si="21"/>
        <v>1062.075</v>
      </c>
      <c r="CH32" s="411">
        <f t="shared" si="21"/>
        <v>1062.075</v>
      </c>
      <c r="CI32" s="411">
        <f t="shared" si="21"/>
        <v>1062.075</v>
      </c>
      <c r="CJ32" s="411">
        <f t="shared" si="21"/>
        <v>1062.075</v>
      </c>
      <c r="CK32" s="411">
        <f t="shared" si="21"/>
        <v>1062.075</v>
      </c>
      <c r="CL32" s="411">
        <f t="shared" si="21"/>
        <v>1062.075</v>
      </c>
      <c r="CM32" s="411">
        <f t="shared" si="1"/>
        <v>1062.0749999999982</v>
      </c>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row>
    <row r="33" spans="1:179">
      <c r="A33" s="1051"/>
      <c r="B33" s="224" t="s">
        <v>309</v>
      </c>
      <c r="C33" s="367" t="s">
        <v>310</v>
      </c>
      <c r="D33" s="416">
        <f>1.50375/1000</f>
        <v>1.5037499999999999E-3</v>
      </c>
      <c r="E33" s="236"/>
      <c r="F33" s="417" t="s">
        <v>178</v>
      </c>
      <c r="G33" s="418">
        <v>166.44858374999998</v>
      </c>
      <c r="H33" s="418">
        <v>166.44858374999998</v>
      </c>
      <c r="I33" s="418">
        <v>166.44858374999998</v>
      </c>
      <c r="J33" s="418">
        <v>166.44858374999998</v>
      </c>
      <c r="K33" s="418">
        <v>166.44858374999998</v>
      </c>
      <c r="L33" s="418">
        <v>166.44858374999998</v>
      </c>
      <c r="M33" s="418">
        <v>166.44858374999998</v>
      </c>
      <c r="N33" s="418">
        <v>166.44858374999998</v>
      </c>
      <c r="O33" s="418">
        <v>166.44858374999998</v>
      </c>
      <c r="P33" s="418">
        <v>166.44858374999998</v>
      </c>
      <c r="Q33" s="418">
        <v>166.44858374999998</v>
      </c>
      <c r="R33" s="418">
        <v>166.44858374999998</v>
      </c>
      <c r="S33" s="418">
        <v>166.44858374999998</v>
      </c>
      <c r="T33" s="418">
        <f t="shared" ref="T33:AS33" si="22">T16*$D$33</f>
        <v>172.06007749999998</v>
      </c>
      <c r="U33" s="418">
        <f t="shared" si="22"/>
        <v>172.06007749999998</v>
      </c>
      <c r="V33" s="418">
        <f t="shared" si="22"/>
        <v>172.06007749999998</v>
      </c>
      <c r="W33" s="418">
        <f t="shared" si="22"/>
        <v>172.06007749999998</v>
      </c>
      <c r="X33" s="418">
        <f t="shared" si="22"/>
        <v>172.06007749999998</v>
      </c>
      <c r="Y33" s="418">
        <f t="shared" si="22"/>
        <v>172.06007749999998</v>
      </c>
      <c r="Z33" s="418">
        <f t="shared" si="22"/>
        <v>172.06007749999998</v>
      </c>
      <c r="AA33" s="418">
        <f t="shared" si="22"/>
        <v>172.06007749999998</v>
      </c>
      <c r="AB33" s="418">
        <f t="shared" si="22"/>
        <v>172.06007749999998</v>
      </c>
      <c r="AC33" s="418">
        <f t="shared" si="22"/>
        <v>172.06007749999998</v>
      </c>
      <c r="AD33" s="418">
        <f t="shared" si="22"/>
        <v>172.06007749999998</v>
      </c>
      <c r="AE33" s="418">
        <f t="shared" si="22"/>
        <v>172.06007749999998</v>
      </c>
      <c r="AF33" s="418">
        <f t="shared" si="22"/>
        <v>172.06007749999998</v>
      </c>
      <c r="AG33" s="418">
        <f t="shared" si="22"/>
        <v>172.06007749999998</v>
      </c>
      <c r="AH33" s="418">
        <f t="shared" si="22"/>
        <v>172.06007749999998</v>
      </c>
      <c r="AI33" s="418">
        <f t="shared" si="22"/>
        <v>172.06007749999998</v>
      </c>
      <c r="AJ33" s="418">
        <f t="shared" si="22"/>
        <v>172.06007749999998</v>
      </c>
      <c r="AK33" s="418">
        <f t="shared" si="22"/>
        <v>172.06007749999998</v>
      </c>
      <c r="AL33" s="418">
        <f t="shared" si="22"/>
        <v>172.06007749999998</v>
      </c>
      <c r="AM33" s="418">
        <f t="shared" si="22"/>
        <v>172.06007749999998</v>
      </c>
      <c r="AN33" s="418">
        <f t="shared" si="22"/>
        <v>172.06007749999998</v>
      </c>
      <c r="AO33" s="418">
        <f t="shared" si="22"/>
        <v>172.06007749999998</v>
      </c>
      <c r="AP33" s="418">
        <f t="shared" si="22"/>
        <v>172.06007749999998</v>
      </c>
      <c r="AQ33" s="418">
        <f t="shared" si="22"/>
        <v>172.06007749999998</v>
      </c>
      <c r="AR33" s="418">
        <f t="shared" si="22"/>
        <v>172.06007749999998</v>
      </c>
      <c r="AS33" s="418">
        <f t="shared" si="22"/>
        <v>172.06007749999998</v>
      </c>
      <c r="AT33" s="418">
        <f>AT16*$D$33</f>
        <v>172.06007749999998</v>
      </c>
      <c r="AU33" s="419">
        <f t="shared" ref="AU33:CL33" si="23">AU16*$D$33</f>
        <v>172.06007749999998</v>
      </c>
      <c r="AV33" s="419">
        <f t="shared" si="23"/>
        <v>172.06007749999998</v>
      </c>
      <c r="AW33" s="419">
        <f t="shared" si="23"/>
        <v>172.06007749999998</v>
      </c>
      <c r="AX33" s="419">
        <f t="shared" si="23"/>
        <v>172.06007749999998</v>
      </c>
      <c r="AY33" s="419">
        <f t="shared" si="23"/>
        <v>172.06007749999998</v>
      </c>
      <c r="AZ33" s="419">
        <f t="shared" si="23"/>
        <v>172.06007749999998</v>
      </c>
      <c r="BA33" s="419">
        <f t="shared" si="23"/>
        <v>172.06007749999998</v>
      </c>
      <c r="BB33" s="419">
        <f t="shared" si="23"/>
        <v>172.06007749999998</v>
      </c>
      <c r="BC33" s="419">
        <f t="shared" si="23"/>
        <v>172.06007749999998</v>
      </c>
      <c r="BD33" s="419">
        <f t="shared" si="23"/>
        <v>172.06007749999998</v>
      </c>
      <c r="BE33" s="419">
        <f t="shared" si="23"/>
        <v>172.06007749999998</v>
      </c>
      <c r="BF33" s="419">
        <f t="shared" si="23"/>
        <v>172.06007749999998</v>
      </c>
      <c r="BG33" s="419">
        <f t="shared" si="23"/>
        <v>172.06007749999998</v>
      </c>
      <c r="BH33" s="419">
        <f t="shared" si="23"/>
        <v>172.06007749999998</v>
      </c>
      <c r="BI33" s="419">
        <f t="shared" si="23"/>
        <v>172.06007749999998</v>
      </c>
      <c r="BJ33" s="419">
        <f t="shared" si="23"/>
        <v>172.06007749999998</v>
      </c>
      <c r="BK33" s="419">
        <f t="shared" si="23"/>
        <v>172.06007749999998</v>
      </c>
      <c r="BL33" s="419">
        <f t="shared" si="23"/>
        <v>172.06007749999998</v>
      </c>
      <c r="BM33" s="419">
        <f t="shared" si="23"/>
        <v>172.06007749999998</v>
      </c>
      <c r="BN33" s="419">
        <f t="shared" si="23"/>
        <v>172.06007749999998</v>
      </c>
      <c r="BO33" s="419">
        <f t="shared" si="23"/>
        <v>172.06007749999998</v>
      </c>
      <c r="BP33" s="419">
        <f t="shared" si="23"/>
        <v>172.06007749999998</v>
      </c>
      <c r="BQ33" s="419">
        <f t="shared" si="23"/>
        <v>172.06007749999998</v>
      </c>
      <c r="BR33" s="419">
        <f t="shared" si="23"/>
        <v>172.06007749999998</v>
      </c>
      <c r="BS33" s="419">
        <f t="shared" si="23"/>
        <v>172.06007749999998</v>
      </c>
      <c r="BT33" s="419">
        <f t="shared" si="23"/>
        <v>172.06007749999998</v>
      </c>
      <c r="BU33" s="419">
        <f t="shared" si="23"/>
        <v>172.06007749999998</v>
      </c>
      <c r="BV33" s="419">
        <f t="shared" si="23"/>
        <v>172.06007749999998</v>
      </c>
      <c r="BW33" s="419">
        <f t="shared" si="23"/>
        <v>172.06007749999998</v>
      </c>
      <c r="BX33" s="419">
        <f t="shared" si="23"/>
        <v>172.06007749999998</v>
      </c>
      <c r="BY33" s="419">
        <f t="shared" si="23"/>
        <v>172.06007749999998</v>
      </c>
      <c r="BZ33" s="419">
        <f t="shared" si="23"/>
        <v>172.06007749999998</v>
      </c>
      <c r="CA33" s="419">
        <f t="shared" si="23"/>
        <v>172.06007749999998</v>
      </c>
      <c r="CB33" s="419">
        <f t="shared" si="23"/>
        <v>172.06007749999998</v>
      </c>
      <c r="CC33" s="419">
        <f t="shared" si="23"/>
        <v>172.06007749999998</v>
      </c>
      <c r="CD33" s="419">
        <f t="shared" si="23"/>
        <v>172.06007749999998</v>
      </c>
      <c r="CE33" s="419">
        <f t="shared" si="23"/>
        <v>172.06007749999998</v>
      </c>
      <c r="CF33" s="419">
        <f t="shared" si="23"/>
        <v>172.06007749999998</v>
      </c>
      <c r="CG33" s="419">
        <f t="shared" si="23"/>
        <v>172.06007749999998</v>
      </c>
      <c r="CH33" s="419">
        <f t="shared" si="23"/>
        <v>172.06007749999998</v>
      </c>
      <c r="CI33" s="419">
        <f t="shared" si="23"/>
        <v>172.06007749999998</v>
      </c>
      <c r="CJ33" s="419">
        <f t="shared" si="23"/>
        <v>172.06007749999998</v>
      </c>
      <c r="CK33" s="419">
        <f t="shared" si="23"/>
        <v>172.06007749999998</v>
      </c>
      <c r="CL33" s="420">
        <f t="shared" si="23"/>
        <v>172.06007749999998</v>
      </c>
      <c r="CM33" s="363">
        <f t="shared" si="1"/>
        <v>171.19163203869061</v>
      </c>
      <c r="CN33" s="58"/>
      <c r="CO33" s="421">
        <v>41883</v>
      </c>
      <c r="CP33" s="421">
        <v>41913</v>
      </c>
      <c r="CQ33" s="421">
        <v>41944</v>
      </c>
      <c r="CR33" s="421">
        <v>41974</v>
      </c>
      <c r="CS33" s="421">
        <v>42005</v>
      </c>
      <c r="CT33" s="421">
        <v>42036</v>
      </c>
      <c r="CU33" s="421">
        <v>42064</v>
      </c>
      <c r="CV33" s="421">
        <v>42095</v>
      </c>
      <c r="CW33" s="421">
        <v>42125</v>
      </c>
      <c r="CX33" s="421">
        <v>42156</v>
      </c>
      <c r="CY33" s="421">
        <v>42186</v>
      </c>
      <c r="CZ33" s="421">
        <v>42217</v>
      </c>
      <c r="DA33" s="421">
        <v>42248</v>
      </c>
      <c r="DB33" s="421">
        <v>42278</v>
      </c>
      <c r="DC33" s="421">
        <v>42309</v>
      </c>
      <c r="DD33" s="421">
        <v>42339</v>
      </c>
      <c r="DE33" s="421">
        <v>42370</v>
      </c>
      <c r="DF33" s="421">
        <v>42401</v>
      </c>
      <c r="DG33" s="421">
        <v>42430</v>
      </c>
      <c r="DH33" s="421">
        <v>42461</v>
      </c>
      <c r="DI33" s="421">
        <v>42491</v>
      </c>
      <c r="DJ33" s="421">
        <v>42522</v>
      </c>
      <c r="DK33" s="421">
        <v>42552</v>
      </c>
      <c r="DL33" s="421">
        <v>42583</v>
      </c>
      <c r="DM33" s="421">
        <v>42614</v>
      </c>
      <c r="DN33" s="421">
        <v>42644</v>
      </c>
      <c r="DO33" s="421">
        <v>42675</v>
      </c>
      <c r="DP33" s="421">
        <v>42705</v>
      </c>
      <c r="DQ33" s="421">
        <v>42736</v>
      </c>
      <c r="DR33" s="421">
        <v>42767</v>
      </c>
      <c r="DS33" s="421">
        <v>42795</v>
      </c>
      <c r="DT33" s="421">
        <v>42826</v>
      </c>
      <c r="DU33" s="421">
        <v>42856</v>
      </c>
      <c r="DV33" s="421">
        <v>42887</v>
      </c>
      <c r="DW33" s="421">
        <v>42917</v>
      </c>
      <c r="DX33" s="421">
        <v>42948</v>
      </c>
      <c r="DY33" s="421">
        <v>42979</v>
      </c>
      <c r="DZ33" s="421">
        <v>43009</v>
      </c>
      <c r="EA33" s="421">
        <v>43040</v>
      </c>
      <c r="EB33" s="421">
        <v>43070</v>
      </c>
      <c r="EC33" s="421">
        <v>43101</v>
      </c>
      <c r="ED33" s="421">
        <v>43132</v>
      </c>
      <c r="EE33" s="421">
        <v>43160</v>
      </c>
      <c r="EF33" s="421">
        <v>43191</v>
      </c>
      <c r="EG33" s="421">
        <v>43221</v>
      </c>
      <c r="EH33" s="421">
        <v>43252</v>
      </c>
      <c r="EI33" s="421">
        <v>43282</v>
      </c>
      <c r="EJ33" s="421">
        <v>43313</v>
      </c>
      <c r="EK33" s="421">
        <v>43344</v>
      </c>
      <c r="EL33" s="421">
        <v>43374</v>
      </c>
      <c r="EM33" s="421">
        <v>43405</v>
      </c>
      <c r="EN33" s="421">
        <v>43435</v>
      </c>
      <c r="EO33" s="421">
        <v>43466</v>
      </c>
      <c r="EP33" s="421">
        <v>43497</v>
      </c>
      <c r="EQ33" s="421">
        <v>43525</v>
      </c>
      <c r="ER33" s="421">
        <v>43556</v>
      </c>
      <c r="ES33" s="421">
        <v>43586</v>
      </c>
      <c r="ET33" s="421">
        <v>43617</v>
      </c>
      <c r="EU33" s="421">
        <v>43647</v>
      </c>
      <c r="EV33" s="421">
        <v>43678</v>
      </c>
      <c r="EW33" s="421">
        <v>43709</v>
      </c>
      <c r="EX33" s="421">
        <v>43739</v>
      </c>
      <c r="EY33" s="421">
        <v>43770</v>
      </c>
      <c r="EZ33" s="421">
        <v>43800</v>
      </c>
      <c r="FA33" s="421">
        <v>43831</v>
      </c>
      <c r="FB33" s="421">
        <v>43862</v>
      </c>
      <c r="FC33" s="421">
        <v>43891</v>
      </c>
      <c r="FD33" s="421">
        <v>43922</v>
      </c>
      <c r="FE33" s="421">
        <v>43952</v>
      </c>
      <c r="FF33" s="421">
        <v>43983</v>
      </c>
      <c r="FG33" s="421">
        <v>44013</v>
      </c>
      <c r="FH33" s="421">
        <v>44044</v>
      </c>
      <c r="FI33" s="421">
        <v>44075</v>
      </c>
      <c r="FJ33" s="421">
        <v>44105</v>
      </c>
      <c r="FK33" s="421">
        <v>44136</v>
      </c>
      <c r="FL33" s="421">
        <v>44166</v>
      </c>
      <c r="FM33" s="421">
        <v>44197</v>
      </c>
      <c r="FN33" s="421">
        <v>44228</v>
      </c>
      <c r="FO33" s="421">
        <v>44256</v>
      </c>
      <c r="FP33" s="421">
        <v>44287</v>
      </c>
      <c r="FQ33" s="421">
        <v>44317</v>
      </c>
      <c r="FR33" s="421">
        <v>44348</v>
      </c>
      <c r="FS33" s="421">
        <v>44378</v>
      </c>
      <c r="FT33" s="421">
        <v>44409</v>
      </c>
      <c r="FU33" s="421">
        <v>44440</v>
      </c>
      <c r="FV33" s="371"/>
    </row>
    <row r="34" spans="1:179" ht="15" customHeight="1">
      <c r="A34" s="1065" t="s">
        <v>106</v>
      </c>
      <c r="B34" s="398" t="s">
        <v>305</v>
      </c>
      <c r="C34" s="399" t="s">
        <v>310</v>
      </c>
      <c r="D34" s="399">
        <v>1.61</v>
      </c>
      <c r="E34" s="1058" t="s">
        <v>313</v>
      </c>
      <c r="F34" s="422" t="s">
        <v>141</v>
      </c>
      <c r="G34" s="423">
        <f t="shared" ref="G34:R34" si="24">$D$34*G16</f>
        <v>184217.27333333332</v>
      </c>
      <c r="H34" s="423">
        <f t="shared" si="24"/>
        <v>184217.27333333332</v>
      </c>
      <c r="I34" s="423">
        <f t="shared" si="24"/>
        <v>184217.27333333332</v>
      </c>
      <c r="J34" s="423">
        <f t="shared" si="24"/>
        <v>184217.27333333332</v>
      </c>
      <c r="K34" s="423">
        <f t="shared" si="24"/>
        <v>184217.27333333332</v>
      </c>
      <c r="L34" s="423">
        <f t="shared" si="24"/>
        <v>184217.27333333332</v>
      </c>
      <c r="M34" s="423">
        <f t="shared" si="24"/>
        <v>184217.27333333332</v>
      </c>
      <c r="N34" s="423">
        <f t="shared" si="24"/>
        <v>184217.27333333332</v>
      </c>
      <c r="O34" s="423">
        <f t="shared" si="24"/>
        <v>184217.27333333332</v>
      </c>
      <c r="P34" s="423">
        <f t="shared" si="24"/>
        <v>184217.27333333332</v>
      </c>
      <c r="Q34" s="423">
        <f t="shared" si="24"/>
        <v>184217.27333333332</v>
      </c>
      <c r="R34" s="423">
        <f t="shared" si="24"/>
        <v>184217.27333333332</v>
      </c>
      <c r="S34" s="423">
        <f>$D$34*S16</f>
        <v>184217.27333333332</v>
      </c>
      <c r="T34" s="423">
        <f t="shared" ref="T34:CE34" si="25">$D$34*T16</f>
        <v>184217.27333333332</v>
      </c>
      <c r="U34" s="423">
        <f t="shared" si="25"/>
        <v>184217.27333333332</v>
      </c>
      <c r="V34" s="423">
        <f t="shared" si="25"/>
        <v>184217.27333333332</v>
      </c>
      <c r="W34" s="423">
        <f t="shared" si="25"/>
        <v>184217.27333333332</v>
      </c>
      <c r="X34" s="423">
        <f t="shared" si="25"/>
        <v>184217.27333333332</v>
      </c>
      <c r="Y34" s="423">
        <f t="shared" si="25"/>
        <v>184217.27333333332</v>
      </c>
      <c r="Z34" s="423">
        <f t="shared" si="25"/>
        <v>184217.27333333332</v>
      </c>
      <c r="AA34" s="423">
        <f t="shared" si="25"/>
        <v>184217.27333333332</v>
      </c>
      <c r="AB34" s="423">
        <f t="shared" si="25"/>
        <v>184217.27333333332</v>
      </c>
      <c r="AC34" s="423">
        <f t="shared" si="25"/>
        <v>184217.27333333332</v>
      </c>
      <c r="AD34" s="423">
        <f t="shared" si="25"/>
        <v>184217.27333333332</v>
      </c>
      <c r="AE34" s="423">
        <f t="shared" si="25"/>
        <v>184217.27333333332</v>
      </c>
      <c r="AF34" s="423">
        <f t="shared" si="25"/>
        <v>184217.27333333332</v>
      </c>
      <c r="AG34" s="423">
        <f t="shared" si="25"/>
        <v>184217.27333333332</v>
      </c>
      <c r="AH34" s="423">
        <f t="shared" si="25"/>
        <v>184217.27333333332</v>
      </c>
      <c r="AI34" s="423">
        <f t="shared" si="25"/>
        <v>184217.27333333332</v>
      </c>
      <c r="AJ34" s="423">
        <f t="shared" si="25"/>
        <v>184217.27333333332</v>
      </c>
      <c r="AK34" s="423">
        <f t="shared" si="25"/>
        <v>184217.27333333332</v>
      </c>
      <c r="AL34" s="423">
        <f t="shared" si="25"/>
        <v>184217.27333333332</v>
      </c>
      <c r="AM34" s="423">
        <f t="shared" si="25"/>
        <v>184217.27333333332</v>
      </c>
      <c r="AN34" s="423">
        <f t="shared" si="25"/>
        <v>184217.27333333332</v>
      </c>
      <c r="AO34" s="423">
        <f t="shared" si="25"/>
        <v>184217.27333333332</v>
      </c>
      <c r="AP34" s="423">
        <f t="shared" si="25"/>
        <v>184217.27333333332</v>
      </c>
      <c r="AQ34" s="423">
        <f t="shared" si="25"/>
        <v>184217.27333333332</v>
      </c>
      <c r="AR34" s="423">
        <f t="shared" si="25"/>
        <v>184217.27333333332</v>
      </c>
      <c r="AS34" s="423">
        <f t="shared" si="25"/>
        <v>184217.27333333332</v>
      </c>
      <c r="AT34" s="423">
        <f t="shared" si="25"/>
        <v>184217.27333333332</v>
      </c>
      <c r="AU34" s="424">
        <f t="shared" si="25"/>
        <v>184217.27333333332</v>
      </c>
      <c r="AV34" s="424">
        <f t="shared" si="25"/>
        <v>184217.27333333332</v>
      </c>
      <c r="AW34" s="424">
        <f t="shared" si="25"/>
        <v>184217.27333333332</v>
      </c>
      <c r="AX34" s="424">
        <f t="shared" si="25"/>
        <v>184217.27333333332</v>
      </c>
      <c r="AY34" s="424">
        <f t="shared" si="25"/>
        <v>184217.27333333332</v>
      </c>
      <c r="AZ34" s="424">
        <f t="shared" si="25"/>
        <v>184217.27333333332</v>
      </c>
      <c r="BA34" s="424">
        <f t="shared" si="25"/>
        <v>184217.27333333332</v>
      </c>
      <c r="BB34" s="424">
        <f t="shared" si="25"/>
        <v>184217.27333333332</v>
      </c>
      <c r="BC34" s="424">
        <f t="shared" si="25"/>
        <v>184217.27333333332</v>
      </c>
      <c r="BD34" s="424">
        <f t="shared" si="25"/>
        <v>184217.27333333332</v>
      </c>
      <c r="BE34" s="424">
        <f t="shared" si="25"/>
        <v>184217.27333333332</v>
      </c>
      <c r="BF34" s="424">
        <f t="shared" si="25"/>
        <v>184217.27333333332</v>
      </c>
      <c r="BG34" s="424">
        <f t="shared" si="25"/>
        <v>184217.27333333332</v>
      </c>
      <c r="BH34" s="424">
        <f t="shared" si="25"/>
        <v>184217.27333333332</v>
      </c>
      <c r="BI34" s="424">
        <f t="shared" si="25"/>
        <v>184217.27333333332</v>
      </c>
      <c r="BJ34" s="424">
        <f t="shared" si="25"/>
        <v>184217.27333333332</v>
      </c>
      <c r="BK34" s="424">
        <f t="shared" si="25"/>
        <v>184217.27333333332</v>
      </c>
      <c r="BL34" s="424">
        <f t="shared" si="25"/>
        <v>184217.27333333332</v>
      </c>
      <c r="BM34" s="424">
        <f t="shared" si="25"/>
        <v>184217.27333333332</v>
      </c>
      <c r="BN34" s="424">
        <f t="shared" si="25"/>
        <v>184217.27333333332</v>
      </c>
      <c r="BO34" s="424">
        <f t="shared" si="25"/>
        <v>184217.27333333332</v>
      </c>
      <c r="BP34" s="424">
        <f t="shared" si="25"/>
        <v>184217.27333333332</v>
      </c>
      <c r="BQ34" s="424">
        <f t="shared" si="25"/>
        <v>184217.27333333332</v>
      </c>
      <c r="BR34" s="424">
        <f t="shared" si="25"/>
        <v>184217.27333333332</v>
      </c>
      <c r="BS34" s="424">
        <f t="shared" si="25"/>
        <v>184217.27333333332</v>
      </c>
      <c r="BT34" s="424">
        <f t="shared" si="25"/>
        <v>184217.27333333332</v>
      </c>
      <c r="BU34" s="424">
        <f t="shared" si="25"/>
        <v>184217.27333333332</v>
      </c>
      <c r="BV34" s="424">
        <f t="shared" si="25"/>
        <v>184217.27333333332</v>
      </c>
      <c r="BW34" s="424">
        <f t="shared" si="25"/>
        <v>184217.27333333332</v>
      </c>
      <c r="BX34" s="424">
        <f t="shared" si="25"/>
        <v>184217.27333333332</v>
      </c>
      <c r="BY34" s="424">
        <f t="shared" si="25"/>
        <v>184217.27333333332</v>
      </c>
      <c r="BZ34" s="424">
        <f t="shared" si="25"/>
        <v>184217.27333333332</v>
      </c>
      <c r="CA34" s="424">
        <f t="shared" si="25"/>
        <v>184217.27333333332</v>
      </c>
      <c r="CB34" s="424">
        <f t="shared" si="25"/>
        <v>184217.27333333332</v>
      </c>
      <c r="CC34" s="424">
        <f t="shared" si="25"/>
        <v>184217.27333333332</v>
      </c>
      <c r="CD34" s="424">
        <f t="shared" si="25"/>
        <v>184217.27333333332</v>
      </c>
      <c r="CE34" s="424">
        <f t="shared" si="25"/>
        <v>184217.27333333332</v>
      </c>
      <c r="CF34" s="424">
        <f t="shared" ref="CF34:CL34" si="26">$D$34*CF16</f>
        <v>184217.27333333332</v>
      </c>
      <c r="CG34" s="424">
        <f t="shared" si="26"/>
        <v>184217.27333333332</v>
      </c>
      <c r="CH34" s="424">
        <f t="shared" si="26"/>
        <v>184217.27333333332</v>
      </c>
      <c r="CI34" s="424">
        <f t="shared" si="26"/>
        <v>184217.27333333332</v>
      </c>
      <c r="CJ34" s="424">
        <f t="shared" si="26"/>
        <v>184217.27333333332</v>
      </c>
      <c r="CK34" s="424">
        <f t="shared" si="26"/>
        <v>184217.27333333332</v>
      </c>
      <c r="CL34" s="422">
        <f t="shared" si="26"/>
        <v>184217.27333333332</v>
      </c>
      <c r="CM34" s="425">
        <f t="shared" ref="CM34:CM74" si="27">AVERAGE(G34:CL34)</f>
        <v>184217.2733333334</v>
      </c>
      <c r="CN34" s="426" t="s">
        <v>316</v>
      </c>
      <c r="CO34" s="427">
        <v>6.12</v>
      </c>
      <c r="CP34" s="427">
        <v>6.12</v>
      </c>
      <c r="CQ34" s="427">
        <v>6.12</v>
      </c>
      <c r="CR34" s="427">
        <v>6.12</v>
      </c>
      <c r="CS34" s="427">
        <v>6.24</v>
      </c>
      <c r="CT34" s="427">
        <v>6.24</v>
      </c>
      <c r="CU34" s="427">
        <v>6.28</v>
      </c>
      <c r="CV34" s="427">
        <v>6.28</v>
      </c>
      <c r="CW34" s="427">
        <v>6.32</v>
      </c>
      <c r="CX34" s="427">
        <v>6.32</v>
      </c>
      <c r="CY34" s="427">
        <v>6.47</v>
      </c>
      <c r="CZ34" s="427">
        <v>6.47</v>
      </c>
      <c r="DA34" s="427">
        <v>6.47</v>
      </c>
      <c r="DB34" s="427">
        <v>6.51</v>
      </c>
      <c r="DC34" s="427">
        <v>6.6447253073219397</v>
      </c>
      <c r="DD34" s="427">
        <v>6.6592391374311397</v>
      </c>
      <c r="DE34" s="427">
        <v>6.6737529675403398</v>
      </c>
      <c r="DF34" s="427">
        <v>6.6882667976495496</v>
      </c>
      <c r="DG34" s="427">
        <v>6.7027806277587496</v>
      </c>
      <c r="DH34" s="427">
        <v>6.7172944578679497</v>
      </c>
      <c r="DI34" s="427">
        <v>6.7318082879771604</v>
      </c>
      <c r="DJ34" s="427">
        <v>6.7463221180863604</v>
      </c>
      <c r="DK34" s="427">
        <v>6.7608359481955604</v>
      </c>
      <c r="DL34" s="427">
        <v>6.7753497783047703</v>
      </c>
      <c r="DM34" s="427">
        <v>6.7898636084139703</v>
      </c>
      <c r="DN34" s="427">
        <v>6.91</v>
      </c>
      <c r="DO34" s="427">
        <v>6.8188912686323802</v>
      </c>
      <c r="DP34" s="427">
        <v>6.86</v>
      </c>
      <c r="DQ34" s="427">
        <v>6.8479189288507802</v>
      </c>
      <c r="DR34" s="427">
        <v>6.8624327589599803</v>
      </c>
      <c r="DS34" s="427">
        <v>6.8769465890691901</v>
      </c>
      <c r="DT34" s="427">
        <v>6.8914604191783901</v>
      </c>
      <c r="DU34" s="427">
        <v>6.9059742492875902</v>
      </c>
      <c r="DV34" s="427">
        <v>6.9204880793968</v>
      </c>
      <c r="DW34" s="427">
        <v>6.935001909506</v>
      </c>
      <c r="DX34" s="427">
        <v>6.9495157396152001</v>
      </c>
      <c r="DY34" s="427">
        <v>6.9640295697244099</v>
      </c>
      <c r="DZ34" s="427">
        <v>6.9785433998336099</v>
      </c>
      <c r="EA34" s="427">
        <v>6.99305722994281</v>
      </c>
      <c r="EB34" s="427">
        <v>7.0075710600520198</v>
      </c>
      <c r="EC34" s="427">
        <v>5.2450000000000001</v>
      </c>
      <c r="ED34" s="427">
        <v>7.48</v>
      </c>
      <c r="EE34" s="427">
        <v>7.6002255138846202</v>
      </c>
      <c r="EF34" s="427">
        <v>6.65</v>
      </c>
      <c r="EG34" s="427">
        <v>6.77</v>
      </c>
      <c r="EH34" s="427">
        <v>6.83</v>
      </c>
      <c r="EI34" s="427">
        <v>8.23</v>
      </c>
      <c r="EJ34" s="427">
        <v>8.2200000000000006</v>
      </c>
      <c r="EK34" s="427">
        <v>7.32</v>
      </c>
      <c r="EL34" s="427">
        <v>8.18</v>
      </c>
      <c r="EM34" s="427">
        <v>7.53</v>
      </c>
      <c r="EN34" s="427">
        <v>7.13</v>
      </c>
      <c r="EO34" s="427">
        <v>6.42</v>
      </c>
      <c r="EP34" s="427">
        <v>7.18</v>
      </c>
      <c r="EQ34" s="427">
        <v>6.07</v>
      </c>
      <c r="ER34" s="427">
        <v>4.8415999999999997</v>
      </c>
      <c r="ES34" s="427">
        <v>4.8899999999999997</v>
      </c>
      <c r="ET34" s="427">
        <v>5.4</v>
      </c>
      <c r="EU34" s="427">
        <v>5.84</v>
      </c>
      <c r="EV34" s="427">
        <v>5.76</v>
      </c>
      <c r="EW34" s="427">
        <v>5.46</v>
      </c>
      <c r="EX34" s="427">
        <v>6.36</v>
      </c>
      <c r="EY34" s="427">
        <v>6.17</v>
      </c>
      <c r="EZ34" s="427">
        <v>6.84</v>
      </c>
      <c r="FA34" s="427">
        <v>5.67</v>
      </c>
      <c r="FB34" s="427">
        <v>5.33</v>
      </c>
      <c r="FC34" s="427">
        <v>3.69</v>
      </c>
      <c r="FD34" s="427">
        <v>4.9800000000000004</v>
      </c>
      <c r="FE34" s="427">
        <v>4.4800000000000004</v>
      </c>
      <c r="FF34" s="427">
        <v>3</v>
      </c>
      <c r="FG34" s="427">
        <v>2.6</v>
      </c>
      <c r="FH34" s="427">
        <v>3.43</v>
      </c>
      <c r="FI34" s="427">
        <v>4.3499999999999996</v>
      </c>
      <c r="FJ34" s="427">
        <v>4.68</v>
      </c>
      <c r="FK34" s="427">
        <v>5.0999999999999996</v>
      </c>
      <c r="FL34" s="427">
        <v>6.03</v>
      </c>
      <c r="FM34" s="427">
        <v>6.67</v>
      </c>
      <c r="FN34" s="427">
        <v>8.02</v>
      </c>
      <c r="FO34" s="427">
        <v>7.23</v>
      </c>
      <c r="FP34" s="427">
        <v>5.36</v>
      </c>
      <c r="FQ34" s="427">
        <v>5.15</v>
      </c>
      <c r="FR34" s="427">
        <v>5.64</v>
      </c>
      <c r="FS34" s="427">
        <v>6.42</v>
      </c>
      <c r="FT34" s="427">
        <v>7.17</v>
      </c>
      <c r="FU34" s="427">
        <v>7.47</v>
      </c>
      <c r="FV34" s="428">
        <f t="shared" ref="FV34:FV41" si="28">AVERAGE(EC34:FU34)</f>
        <v>6.0197072336418813</v>
      </c>
      <c r="FW34" s="312"/>
    </row>
    <row r="35" spans="1:179">
      <c r="A35" s="1066"/>
      <c r="B35" s="398" t="s">
        <v>305</v>
      </c>
      <c r="C35" s="399" t="s">
        <v>310</v>
      </c>
      <c r="D35" s="399">
        <v>514.32000000000005</v>
      </c>
      <c r="E35" s="1058"/>
      <c r="F35" s="422" t="s">
        <v>132</v>
      </c>
      <c r="G35" s="423">
        <f t="shared" ref="G35:BR35" si="29">$D$35*G16</f>
        <v>58848837.280000001</v>
      </c>
      <c r="H35" s="423">
        <f t="shared" si="29"/>
        <v>58848837.280000001</v>
      </c>
      <c r="I35" s="423">
        <f t="shared" si="29"/>
        <v>58848837.280000001</v>
      </c>
      <c r="J35" s="423">
        <f t="shared" si="29"/>
        <v>58848837.280000001</v>
      </c>
      <c r="K35" s="423">
        <f t="shared" si="29"/>
        <v>58848837.280000001</v>
      </c>
      <c r="L35" s="423">
        <f t="shared" si="29"/>
        <v>58848837.280000001</v>
      </c>
      <c r="M35" s="423">
        <f t="shared" si="29"/>
        <v>58848837.280000001</v>
      </c>
      <c r="N35" s="423">
        <f t="shared" si="29"/>
        <v>58848837.280000001</v>
      </c>
      <c r="O35" s="423">
        <f t="shared" si="29"/>
        <v>58848837.280000001</v>
      </c>
      <c r="P35" s="423">
        <f t="shared" si="29"/>
        <v>58848837.280000001</v>
      </c>
      <c r="Q35" s="423">
        <f t="shared" si="29"/>
        <v>58848837.280000001</v>
      </c>
      <c r="R35" s="423">
        <f t="shared" si="29"/>
        <v>58848837.280000001</v>
      </c>
      <c r="S35" s="423">
        <f t="shared" si="29"/>
        <v>58848837.280000001</v>
      </c>
      <c r="T35" s="423">
        <f t="shared" si="29"/>
        <v>58848837.280000001</v>
      </c>
      <c r="U35" s="423">
        <f t="shared" si="29"/>
        <v>58848837.280000001</v>
      </c>
      <c r="V35" s="423">
        <f t="shared" si="29"/>
        <v>58848837.280000001</v>
      </c>
      <c r="W35" s="423">
        <f t="shared" si="29"/>
        <v>58848837.280000001</v>
      </c>
      <c r="X35" s="423">
        <f t="shared" si="29"/>
        <v>58848837.280000001</v>
      </c>
      <c r="Y35" s="423">
        <f t="shared" si="29"/>
        <v>58848837.280000001</v>
      </c>
      <c r="Z35" s="423">
        <f t="shared" si="29"/>
        <v>58848837.280000001</v>
      </c>
      <c r="AA35" s="423">
        <f t="shared" si="29"/>
        <v>58848837.280000001</v>
      </c>
      <c r="AB35" s="423">
        <f t="shared" si="29"/>
        <v>58848837.280000001</v>
      </c>
      <c r="AC35" s="423">
        <f t="shared" si="29"/>
        <v>58848837.280000001</v>
      </c>
      <c r="AD35" s="423">
        <f t="shared" si="29"/>
        <v>58848837.280000001</v>
      </c>
      <c r="AE35" s="423">
        <f t="shared" si="29"/>
        <v>58848837.280000001</v>
      </c>
      <c r="AF35" s="423">
        <f t="shared" si="29"/>
        <v>58848837.280000001</v>
      </c>
      <c r="AG35" s="423">
        <f t="shared" si="29"/>
        <v>58848837.280000001</v>
      </c>
      <c r="AH35" s="423">
        <f t="shared" si="29"/>
        <v>58848837.280000001</v>
      </c>
      <c r="AI35" s="423">
        <f t="shared" si="29"/>
        <v>58848837.280000001</v>
      </c>
      <c r="AJ35" s="423">
        <f t="shared" si="29"/>
        <v>58848837.280000001</v>
      </c>
      <c r="AK35" s="423">
        <f t="shared" si="29"/>
        <v>58848837.280000001</v>
      </c>
      <c r="AL35" s="423">
        <f t="shared" si="29"/>
        <v>58848837.280000001</v>
      </c>
      <c r="AM35" s="423">
        <f t="shared" si="29"/>
        <v>58848837.280000001</v>
      </c>
      <c r="AN35" s="423">
        <f t="shared" si="29"/>
        <v>58848837.280000001</v>
      </c>
      <c r="AO35" s="423">
        <f t="shared" si="29"/>
        <v>58848837.280000001</v>
      </c>
      <c r="AP35" s="423">
        <f t="shared" si="29"/>
        <v>58848837.280000001</v>
      </c>
      <c r="AQ35" s="423">
        <f t="shared" si="29"/>
        <v>58848837.280000001</v>
      </c>
      <c r="AR35" s="423">
        <f t="shared" si="29"/>
        <v>58848837.280000001</v>
      </c>
      <c r="AS35" s="423">
        <f t="shared" si="29"/>
        <v>58848837.280000001</v>
      </c>
      <c r="AT35" s="423">
        <f t="shared" si="29"/>
        <v>58848837.280000001</v>
      </c>
      <c r="AU35" s="424">
        <f t="shared" si="29"/>
        <v>58848837.280000001</v>
      </c>
      <c r="AV35" s="424">
        <f t="shared" si="29"/>
        <v>58848837.280000001</v>
      </c>
      <c r="AW35" s="424">
        <f t="shared" si="29"/>
        <v>58848837.280000001</v>
      </c>
      <c r="AX35" s="424">
        <f t="shared" si="29"/>
        <v>58848837.280000001</v>
      </c>
      <c r="AY35" s="424">
        <f t="shared" si="29"/>
        <v>58848837.280000001</v>
      </c>
      <c r="AZ35" s="424">
        <f t="shared" si="29"/>
        <v>58848837.280000001</v>
      </c>
      <c r="BA35" s="424">
        <f t="shared" si="29"/>
        <v>58848837.280000001</v>
      </c>
      <c r="BB35" s="424">
        <f t="shared" si="29"/>
        <v>58848837.280000001</v>
      </c>
      <c r="BC35" s="424">
        <f t="shared" si="29"/>
        <v>58848837.280000001</v>
      </c>
      <c r="BD35" s="424">
        <f t="shared" si="29"/>
        <v>58848837.280000001</v>
      </c>
      <c r="BE35" s="424">
        <f t="shared" si="29"/>
        <v>58848837.280000001</v>
      </c>
      <c r="BF35" s="424">
        <f t="shared" si="29"/>
        <v>58848837.280000001</v>
      </c>
      <c r="BG35" s="424">
        <f t="shared" si="29"/>
        <v>58848837.280000001</v>
      </c>
      <c r="BH35" s="424">
        <f t="shared" si="29"/>
        <v>58848837.280000001</v>
      </c>
      <c r="BI35" s="424">
        <f t="shared" si="29"/>
        <v>58848837.280000001</v>
      </c>
      <c r="BJ35" s="424">
        <f t="shared" si="29"/>
        <v>58848837.280000001</v>
      </c>
      <c r="BK35" s="424">
        <f t="shared" si="29"/>
        <v>58848837.280000001</v>
      </c>
      <c r="BL35" s="424">
        <f t="shared" si="29"/>
        <v>58848837.280000001</v>
      </c>
      <c r="BM35" s="424">
        <f t="shared" si="29"/>
        <v>58848837.280000001</v>
      </c>
      <c r="BN35" s="424">
        <f t="shared" si="29"/>
        <v>58848837.280000001</v>
      </c>
      <c r="BO35" s="424">
        <f t="shared" si="29"/>
        <v>58848837.280000001</v>
      </c>
      <c r="BP35" s="424">
        <f t="shared" si="29"/>
        <v>58848837.280000001</v>
      </c>
      <c r="BQ35" s="424">
        <f t="shared" si="29"/>
        <v>58848837.280000001</v>
      </c>
      <c r="BR35" s="424">
        <f t="shared" si="29"/>
        <v>58848837.280000001</v>
      </c>
      <c r="BS35" s="424">
        <f t="shared" ref="BS35:CL35" si="30">$D$35*BS16</f>
        <v>58848837.280000001</v>
      </c>
      <c r="BT35" s="424">
        <f t="shared" si="30"/>
        <v>58848837.280000001</v>
      </c>
      <c r="BU35" s="424">
        <f t="shared" si="30"/>
        <v>58848837.280000001</v>
      </c>
      <c r="BV35" s="424">
        <f t="shared" si="30"/>
        <v>58848837.280000001</v>
      </c>
      <c r="BW35" s="424">
        <f t="shared" si="30"/>
        <v>58848837.280000001</v>
      </c>
      <c r="BX35" s="424">
        <f t="shared" si="30"/>
        <v>58848837.280000001</v>
      </c>
      <c r="BY35" s="424">
        <f t="shared" si="30"/>
        <v>58848837.280000001</v>
      </c>
      <c r="BZ35" s="424">
        <f t="shared" si="30"/>
        <v>58848837.280000001</v>
      </c>
      <c r="CA35" s="424">
        <f t="shared" si="30"/>
        <v>58848837.280000001</v>
      </c>
      <c r="CB35" s="424">
        <f t="shared" si="30"/>
        <v>58848837.280000001</v>
      </c>
      <c r="CC35" s="424">
        <f t="shared" si="30"/>
        <v>58848837.280000001</v>
      </c>
      <c r="CD35" s="424">
        <f t="shared" si="30"/>
        <v>58848837.280000001</v>
      </c>
      <c r="CE35" s="424">
        <f t="shared" si="30"/>
        <v>58848837.280000001</v>
      </c>
      <c r="CF35" s="424">
        <f t="shared" si="30"/>
        <v>58848837.280000001</v>
      </c>
      <c r="CG35" s="424">
        <f t="shared" si="30"/>
        <v>58848837.280000001</v>
      </c>
      <c r="CH35" s="424">
        <f t="shared" si="30"/>
        <v>58848837.280000001</v>
      </c>
      <c r="CI35" s="424">
        <f t="shared" si="30"/>
        <v>58848837.280000001</v>
      </c>
      <c r="CJ35" s="424">
        <f t="shared" si="30"/>
        <v>58848837.280000001</v>
      </c>
      <c r="CK35" s="424">
        <f t="shared" si="30"/>
        <v>58848837.280000001</v>
      </c>
      <c r="CL35" s="422">
        <f t="shared" si="30"/>
        <v>58848837.280000001</v>
      </c>
      <c r="CM35" s="397">
        <f t="shared" si="27"/>
        <v>58848837.280000038</v>
      </c>
      <c r="CN35" s="429" t="s">
        <v>317</v>
      </c>
      <c r="CO35" s="430">
        <v>2198.1265252613698</v>
      </c>
      <c r="CP35" s="430">
        <v>2198.1265252613698</v>
      </c>
      <c r="CQ35" s="430">
        <v>2198.1265252613698</v>
      </c>
      <c r="CR35" s="430">
        <v>2198.1265252613698</v>
      </c>
      <c r="CS35" s="430">
        <v>2198.1265252613698</v>
      </c>
      <c r="CT35" s="430">
        <v>2198.1265252613698</v>
      </c>
      <c r="CU35" s="430">
        <v>2198.1265252613698</v>
      </c>
      <c r="CV35" s="430">
        <v>2198.1265252613698</v>
      </c>
      <c r="CW35" s="430">
        <v>2204.6719970040999</v>
      </c>
      <c r="CX35" s="430">
        <v>2198.1265252613698</v>
      </c>
      <c r="CY35" s="430">
        <v>2204.6719970040999</v>
      </c>
      <c r="CZ35" s="430">
        <v>2211.21746874684</v>
      </c>
      <c r="DA35" s="430">
        <v>2217.7629404895802</v>
      </c>
      <c r="DB35" s="430">
        <v>2224.3084122323098</v>
      </c>
      <c r="DC35" s="430">
        <v>2230.8538839750499</v>
      </c>
      <c r="DD35" s="430">
        <v>2237.3993557177901</v>
      </c>
      <c r="DE35" s="430">
        <v>2243.9448274605202</v>
      </c>
      <c r="DF35" s="430">
        <v>2250.4902992032598</v>
      </c>
      <c r="DG35" s="430">
        <v>2257.03577094599</v>
      </c>
      <c r="DH35" s="430">
        <v>2263.5812426887301</v>
      </c>
      <c r="DI35" s="430">
        <v>2270.1267144314702</v>
      </c>
      <c r="DJ35" s="430">
        <v>2276.6721861741999</v>
      </c>
      <c r="DK35" s="430">
        <v>2283.21765791694</v>
      </c>
      <c r="DL35" s="430">
        <v>2289.7631296596801</v>
      </c>
      <c r="DM35" s="430">
        <v>2296.3086014024102</v>
      </c>
      <c r="DN35" s="430">
        <v>2302.8540731451499</v>
      </c>
      <c r="DO35" s="430">
        <v>2309.39954488788</v>
      </c>
      <c r="DP35" s="430">
        <v>2315.9450166306201</v>
      </c>
      <c r="DQ35" s="430">
        <v>2322.4904883733602</v>
      </c>
      <c r="DR35" s="430">
        <v>2329.0359601160899</v>
      </c>
      <c r="DS35" s="430">
        <v>2335.58143185883</v>
      </c>
      <c r="DT35" s="430">
        <v>2342.1269036015701</v>
      </c>
      <c r="DU35" s="430">
        <v>2348.6723753442998</v>
      </c>
      <c r="DV35" s="430">
        <v>2355.2178470870399</v>
      </c>
      <c r="DW35" s="430">
        <v>2361.76331882977</v>
      </c>
      <c r="DX35" s="430">
        <v>2368.3087905725101</v>
      </c>
      <c r="DY35" s="430">
        <v>2374.8542623152498</v>
      </c>
      <c r="DZ35" s="430">
        <v>2381.3997340579799</v>
      </c>
      <c r="EA35" s="430">
        <v>2387.94520580072</v>
      </c>
      <c r="EB35" s="430">
        <v>2394.4906775434602</v>
      </c>
      <c r="EC35" s="430">
        <v>1659</v>
      </c>
      <c r="ED35" s="430">
        <v>2237</v>
      </c>
      <c r="EE35" s="430">
        <v>2255.1410444563789</v>
      </c>
      <c r="EF35" s="430">
        <v>2146.2487431145209</v>
      </c>
      <c r="EG35" s="430">
        <v>2418.3910474276554</v>
      </c>
      <c r="EH35" s="430">
        <v>2701.6199743644243</v>
      </c>
      <c r="EI35" s="430">
        <v>2777.0407045596344</v>
      </c>
      <c r="EJ35" s="430">
        <v>2836.6205896021006</v>
      </c>
      <c r="EK35" s="430">
        <v>2780.2581602607625</v>
      </c>
      <c r="EL35" s="430">
        <v>3053.926570501239</v>
      </c>
      <c r="EM35" s="430">
        <v>2836.1664048306907</v>
      </c>
      <c r="EN35" s="430">
        <v>2611.932049598453</v>
      </c>
      <c r="EO35" s="430">
        <v>2577.919484614094</v>
      </c>
      <c r="EP35" s="430">
        <v>2856.2006891112787</v>
      </c>
      <c r="EQ35" s="430">
        <v>2469.3423214225581</v>
      </c>
      <c r="ER35" s="430">
        <v>2091.94</v>
      </c>
      <c r="ES35" s="430">
        <v>2025.12</v>
      </c>
      <c r="ET35" s="430">
        <v>2197.69</v>
      </c>
      <c r="EU35" s="430">
        <v>2450.21</v>
      </c>
      <c r="EV35" s="430">
        <v>2188.85</v>
      </c>
      <c r="EW35" s="430">
        <v>2098.58</v>
      </c>
      <c r="EX35" s="430">
        <v>2650.93</v>
      </c>
      <c r="EY35" s="430">
        <v>2588.92</v>
      </c>
      <c r="EZ35" s="430">
        <v>2922.37</v>
      </c>
      <c r="FA35" s="430">
        <v>2398.6999999999998</v>
      </c>
      <c r="FB35" s="430">
        <v>2269.4</v>
      </c>
      <c r="FC35" s="430">
        <v>1425.69</v>
      </c>
      <c r="FD35" s="430">
        <v>1908.42</v>
      </c>
      <c r="FE35" s="430">
        <v>1785.56</v>
      </c>
      <c r="FF35" s="430">
        <v>1111.8399999999999</v>
      </c>
      <c r="FG35" s="430">
        <v>1033.04</v>
      </c>
      <c r="FH35" s="430">
        <v>1321.01</v>
      </c>
      <c r="FI35" s="430">
        <v>1668.98</v>
      </c>
      <c r="FJ35" s="430">
        <v>1783.8</v>
      </c>
      <c r="FK35" s="430">
        <v>2035.2</v>
      </c>
      <c r="FL35" s="430">
        <v>2259.19</v>
      </c>
      <c r="FM35" s="430">
        <v>2699.1</v>
      </c>
      <c r="FN35" s="430">
        <v>3294.54</v>
      </c>
      <c r="FO35" s="430">
        <v>2840.46</v>
      </c>
      <c r="FP35" s="430">
        <v>2266.15</v>
      </c>
      <c r="FQ35" s="430">
        <v>2243.14</v>
      </c>
      <c r="FR35" s="430">
        <v>2506.4699999999998</v>
      </c>
      <c r="FS35" s="430">
        <v>2911.57</v>
      </c>
      <c r="FT35" s="430">
        <v>3467.2</v>
      </c>
      <c r="FU35" s="430">
        <v>3800.16</v>
      </c>
      <c r="FV35" s="271">
        <f t="shared" si="28"/>
        <v>2365.8008396414175</v>
      </c>
      <c r="FW35" s="312"/>
    </row>
    <row r="36" spans="1:179">
      <c r="A36" s="1066"/>
      <c r="B36" s="398" t="s">
        <v>305</v>
      </c>
      <c r="C36" s="399" t="s">
        <v>310</v>
      </c>
      <c r="D36" s="399">
        <v>0.51</v>
      </c>
      <c r="E36" s="1058"/>
      <c r="F36" s="422" t="s">
        <v>131</v>
      </c>
      <c r="G36" s="423">
        <f t="shared" ref="G36:BR36" si="31">$D$36*G16</f>
        <v>58354.539999999994</v>
      </c>
      <c r="H36" s="423">
        <f t="shared" si="31"/>
        <v>58354.539999999994</v>
      </c>
      <c r="I36" s="423">
        <f t="shared" si="31"/>
        <v>58354.539999999994</v>
      </c>
      <c r="J36" s="423">
        <f t="shared" si="31"/>
        <v>58354.539999999994</v>
      </c>
      <c r="K36" s="423">
        <f t="shared" si="31"/>
        <v>58354.539999999994</v>
      </c>
      <c r="L36" s="423">
        <f t="shared" si="31"/>
        <v>58354.539999999994</v>
      </c>
      <c r="M36" s="423">
        <f t="shared" si="31"/>
        <v>58354.539999999994</v>
      </c>
      <c r="N36" s="423">
        <f t="shared" si="31"/>
        <v>58354.539999999994</v>
      </c>
      <c r="O36" s="423">
        <f t="shared" si="31"/>
        <v>58354.539999999994</v>
      </c>
      <c r="P36" s="423">
        <f t="shared" si="31"/>
        <v>58354.539999999994</v>
      </c>
      <c r="Q36" s="423">
        <f t="shared" si="31"/>
        <v>58354.539999999994</v>
      </c>
      <c r="R36" s="423">
        <f t="shared" si="31"/>
        <v>58354.539999999994</v>
      </c>
      <c r="S36" s="423">
        <f t="shared" si="31"/>
        <v>58354.539999999994</v>
      </c>
      <c r="T36" s="423">
        <f t="shared" si="31"/>
        <v>58354.539999999994</v>
      </c>
      <c r="U36" s="423">
        <f t="shared" si="31"/>
        <v>58354.539999999994</v>
      </c>
      <c r="V36" s="423">
        <f t="shared" si="31"/>
        <v>58354.539999999994</v>
      </c>
      <c r="W36" s="423">
        <f t="shared" si="31"/>
        <v>58354.539999999994</v>
      </c>
      <c r="X36" s="423">
        <f t="shared" si="31"/>
        <v>58354.539999999994</v>
      </c>
      <c r="Y36" s="423">
        <f t="shared" si="31"/>
        <v>58354.539999999994</v>
      </c>
      <c r="Z36" s="423">
        <f t="shared" si="31"/>
        <v>58354.539999999994</v>
      </c>
      <c r="AA36" s="423">
        <f t="shared" si="31"/>
        <v>58354.539999999994</v>
      </c>
      <c r="AB36" s="423">
        <f t="shared" si="31"/>
        <v>58354.539999999994</v>
      </c>
      <c r="AC36" s="423">
        <f t="shared" si="31"/>
        <v>58354.539999999994</v>
      </c>
      <c r="AD36" s="423">
        <f t="shared" si="31"/>
        <v>58354.539999999994</v>
      </c>
      <c r="AE36" s="423">
        <f t="shared" si="31"/>
        <v>58354.539999999994</v>
      </c>
      <c r="AF36" s="423">
        <f t="shared" si="31"/>
        <v>58354.539999999994</v>
      </c>
      <c r="AG36" s="423">
        <f t="shared" si="31"/>
        <v>58354.539999999994</v>
      </c>
      <c r="AH36" s="423">
        <f t="shared" si="31"/>
        <v>58354.539999999994</v>
      </c>
      <c r="AI36" s="423">
        <f t="shared" si="31"/>
        <v>58354.539999999994</v>
      </c>
      <c r="AJ36" s="423">
        <f t="shared" si="31"/>
        <v>58354.539999999994</v>
      </c>
      <c r="AK36" s="423">
        <f t="shared" si="31"/>
        <v>58354.539999999994</v>
      </c>
      <c r="AL36" s="423">
        <f t="shared" si="31"/>
        <v>58354.539999999994</v>
      </c>
      <c r="AM36" s="423">
        <f t="shared" si="31"/>
        <v>58354.539999999994</v>
      </c>
      <c r="AN36" s="423">
        <f t="shared" si="31"/>
        <v>58354.539999999994</v>
      </c>
      <c r="AO36" s="423">
        <f t="shared" si="31"/>
        <v>58354.539999999994</v>
      </c>
      <c r="AP36" s="423">
        <f t="shared" si="31"/>
        <v>58354.539999999994</v>
      </c>
      <c r="AQ36" s="423">
        <f t="shared" si="31"/>
        <v>58354.539999999994</v>
      </c>
      <c r="AR36" s="423">
        <f t="shared" si="31"/>
        <v>58354.539999999994</v>
      </c>
      <c r="AS36" s="423">
        <f t="shared" si="31"/>
        <v>58354.539999999994</v>
      </c>
      <c r="AT36" s="423">
        <f t="shared" si="31"/>
        <v>58354.539999999994</v>
      </c>
      <c r="AU36" s="424">
        <f t="shared" si="31"/>
        <v>58354.539999999994</v>
      </c>
      <c r="AV36" s="424">
        <f t="shared" si="31"/>
        <v>58354.539999999994</v>
      </c>
      <c r="AW36" s="424">
        <f t="shared" si="31"/>
        <v>58354.539999999994</v>
      </c>
      <c r="AX36" s="424">
        <f t="shared" si="31"/>
        <v>58354.539999999994</v>
      </c>
      <c r="AY36" s="424">
        <f t="shared" si="31"/>
        <v>58354.539999999994</v>
      </c>
      <c r="AZ36" s="424">
        <f t="shared" si="31"/>
        <v>58354.539999999994</v>
      </c>
      <c r="BA36" s="424">
        <f t="shared" si="31"/>
        <v>58354.539999999994</v>
      </c>
      <c r="BB36" s="424">
        <f t="shared" si="31"/>
        <v>58354.539999999994</v>
      </c>
      <c r="BC36" s="424">
        <f t="shared" si="31"/>
        <v>58354.539999999994</v>
      </c>
      <c r="BD36" s="424">
        <f t="shared" si="31"/>
        <v>58354.539999999994</v>
      </c>
      <c r="BE36" s="424">
        <f t="shared" si="31"/>
        <v>58354.539999999994</v>
      </c>
      <c r="BF36" s="424">
        <f t="shared" si="31"/>
        <v>58354.539999999994</v>
      </c>
      <c r="BG36" s="424">
        <f t="shared" si="31"/>
        <v>58354.539999999994</v>
      </c>
      <c r="BH36" s="424">
        <f t="shared" si="31"/>
        <v>58354.539999999994</v>
      </c>
      <c r="BI36" s="424">
        <f t="shared" si="31"/>
        <v>58354.539999999994</v>
      </c>
      <c r="BJ36" s="424">
        <f t="shared" si="31"/>
        <v>58354.539999999994</v>
      </c>
      <c r="BK36" s="424">
        <f t="shared" si="31"/>
        <v>58354.539999999994</v>
      </c>
      <c r="BL36" s="424">
        <f t="shared" si="31"/>
        <v>58354.539999999994</v>
      </c>
      <c r="BM36" s="424">
        <f t="shared" si="31"/>
        <v>58354.539999999994</v>
      </c>
      <c r="BN36" s="424">
        <f t="shared" si="31"/>
        <v>58354.539999999994</v>
      </c>
      <c r="BO36" s="424">
        <f t="shared" si="31"/>
        <v>58354.539999999994</v>
      </c>
      <c r="BP36" s="424">
        <f t="shared" si="31"/>
        <v>58354.539999999994</v>
      </c>
      <c r="BQ36" s="424">
        <f t="shared" si="31"/>
        <v>58354.539999999994</v>
      </c>
      <c r="BR36" s="424">
        <f t="shared" si="31"/>
        <v>58354.539999999994</v>
      </c>
      <c r="BS36" s="424">
        <f t="shared" ref="BS36:CL36" si="32">$D$36*BS16</f>
        <v>58354.539999999994</v>
      </c>
      <c r="BT36" s="424">
        <f t="shared" si="32"/>
        <v>58354.539999999994</v>
      </c>
      <c r="BU36" s="424">
        <f t="shared" si="32"/>
        <v>58354.539999999994</v>
      </c>
      <c r="BV36" s="424">
        <f t="shared" si="32"/>
        <v>58354.539999999994</v>
      </c>
      <c r="BW36" s="424">
        <f t="shared" si="32"/>
        <v>58354.539999999994</v>
      </c>
      <c r="BX36" s="424">
        <f t="shared" si="32"/>
        <v>58354.539999999994</v>
      </c>
      <c r="BY36" s="424">
        <f t="shared" si="32"/>
        <v>58354.539999999994</v>
      </c>
      <c r="BZ36" s="424">
        <f t="shared" si="32"/>
        <v>58354.539999999994</v>
      </c>
      <c r="CA36" s="424">
        <f t="shared" si="32"/>
        <v>58354.539999999994</v>
      </c>
      <c r="CB36" s="424">
        <f t="shared" si="32"/>
        <v>58354.539999999994</v>
      </c>
      <c r="CC36" s="424">
        <f t="shared" si="32"/>
        <v>58354.539999999994</v>
      </c>
      <c r="CD36" s="424">
        <f t="shared" si="32"/>
        <v>58354.539999999994</v>
      </c>
      <c r="CE36" s="424">
        <f t="shared" si="32"/>
        <v>58354.539999999994</v>
      </c>
      <c r="CF36" s="424">
        <f t="shared" si="32"/>
        <v>58354.539999999994</v>
      </c>
      <c r="CG36" s="424">
        <f t="shared" si="32"/>
        <v>58354.539999999994</v>
      </c>
      <c r="CH36" s="424">
        <f t="shared" si="32"/>
        <v>58354.539999999994</v>
      </c>
      <c r="CI36" s="424">
        <f t="shared" si="32"/>
        <v>58354.539999999994</v>
      </c>
      <c r="CJ36" s="424">
        <f t="shared" si="32"/>
        <v>58354.539999999994</v>
      </c>
      <c r="CK36" s="424">
        <f t="shared" si="32"/>
        <v>58354.539999999994</v>
      </c>
      <c r="CL36" s="422">
        <f t="shared" si="32"/>
        <v>58354.539999999994</v>
      </c>
      <c r="CM36" s="397">
        <f t="shared" si="27"/>
        <v>58354.540000000023</v>
      </c>
      <c r="CN36" s="429" t="s">
        <v>318</v>
      </c>
      <c r="CO36" s="430">
        <v>36.979805128205101</v>
      </c>
      <c r="CP36" s="430">
        <v>36.979805128205101</v>
      </c>
      <c r="CQ36" s="430">
        <v>36.979805128205101</v>
      </c>
      <c r="CR36" s="430">
        <v>36.979805128205101</v>
      </c>
      <c r="CS36" s="430">
        <v>36.979805128205101</v>
      </c>
      <c r="CT36" s="430">
        <v>36.979805128205101</v>
      </c>
      <c r="CU36" s="430">
        <v>36.979805128205101</v>
      </c>
      <c r="CV36" s="430">
        <v>36.979805128205101</v>
      </c>
      <c r="CW36" s="430">
        <v>37.756290598290597</v>
      </c>
      <c r="CX36" s="430">
        <v>36.979805128205101</v>
      </c>
      <c r="CY36" s="430">
        <v>37.756290598290597</v>
      </c>
      <c r="CZ36" s="430">
        <v>38.532776068376101</v>
      </c>
      <c r="DA36" s="430">
        <v>39.309261538461499</v>
      </c>
      <c r="DB36" s="430">
        <v>40.085747008547003</v>
      </c>
      <c r="DC36" s="430">
        <v>40.8622324786325</v>
      </c>
      <c r="DD36" s="430">
        <v>41.638717948718003</v>
      </c>
      <c r="DE36" s="430">
        <v>42.415203418803401</v>
      </c>
      <c r="DF36" s="430">
        <v>43.191688888888898</v>
      </c>
      <c r="DG36" s="430">
        <v>43.968174358974402</v>
      </c>
      <c r="DH36" s="430">
        <v>44.744659829059799</v>
      </c>
      <c r="DI36" s="430">
        <v>45.521145299145303</v>
      </c>
      <c r="DJ36" s="430">
        <v>46.2976307692308</v>
      </c>
      <c r="DK36" s="430">
        <v>47.074116239316197</v>
      </c>
      <c r="DL36" s="430">
        <v>47.850601709401701</v>
      </c>
      <c r="DM36" s="430">
        <v>48.627087179487198</v>
      </c>
      <c r="DN36" s="430">
        <v>49.403572649572702</v>
      </c>
      <c r="DO36" s="430">
        <v>50.180058119658099</v>
      </c>
      <c r="DP36" s="430">
        <v>50.956543589743603</v>
      </c>
      <c r="DQ36" s="430">
        <v>51.7330290598291</v>
      </c>
      <c r="DR36" s="430">
        <v>52.509514529914497</v>
      </c>
      <c r="DS36" s="430">
        <v>53.286000000000001</v>
      </c>
      <c r="DT36" s="430">
        <v>54.062485470085498</v>
      </c>
      <c r="DU36" s="430">
        <v>54.838970940170903</v>
      </c>
      <c r="DV36" s="430">
        <v>55.6154564102564</v>
      </c>
      <c r="DW36" s="430">
        <v>56.391941880341903</v>
      </c>
      <c r="DX36" s="430">
        <v>57.1684273504274</v>
      </c>
      <c r="DY36" s="430">
        <v>57.944912820512798</v>
      </c>
      <c r="DZ36" s="430">
        <v>58.721398290598302</v>
      </c>
      <c r="EA36" s="430">
        <v>59.497883760683798</v>
      </c>
      <c r="EB36" s="430">
        <v>60.274369230769203</v>
      </c>
      <c r="EC36" s="430">
        <v>56.1</v>
      </c>
      <c r="ED36" s="430">
        <v>57.6</v>
      </c>
      <c r="EE36" s="430">
        <v>55.7</v>
      </c>
      <c r="EF36" s="430">
        <v>59.95</v>
      </c>
      <c r="EG36" s="430">
        <v>68.569999999999993</v>
      </c>
      <c r="EH36" s="430">
        <v>79.7</v>
      </c>
      <c r="EI36" s="430">
        <v>85.01</v>
      </c>
      <c r="EJ36" s="430">
        <v>73.42</v>
      </c>
      <c r="EK36" s="430">
        <v>68.25</v>
      </c>
      <c r="EL36" s="430">
        <v>53.25</v>
      </c>
      <c r="EM36" s="430">
        <v>65.459999999999994</v>
      </c>
      <c r="EN36" s="430">
        <v>60.93</v>
      </c>
      <c r="EO36" s="430">
        <v>59.7</v>
      </c>
      <c r="EP36" s="430">
        <v>58.94</v>
      </c>
      <c r="EQ36" s="430">
        <v>57.95</v>
      </c>
      <c r="ER36" s="430">
        <v>78.48</v>
      </c>
      <c r="ES36" s="430">
        <v>82.51</v>
      </c>
      <c r="ET36" s="430">
        <v>83.6</v>
      </c>
      <c r="EU36" s="430">
        <v>102.15</v>
      </c>
      <c r="EV36" s="430">
        <v>74.58</v>
      </c>
      <c r="EW36" s="430">
        <v>78.45</v>
      </c>
      <c r="EX36" s="430">
        <v>76.87</v>
      </c>
      <c r="EY36" s="430">
        <v>82.39</v>
      </c>
      <c r="EZ36" s="430">
        <v>77.88</v>
      </c>
      <c r="FA36" s="430">
        <v>75.39</v>
      </c>
      <c r="FB36" s="430">
        <v>66.849999999999994</v>
      </c>
      <c r="FC36" s="430">
        <v>64.58</v>
      </c>
      <c r="FD36" s="430">
        <v>84.97</v>
      </c>
      <c r="FE36" s="430">
        <v>78.069999999999993</v>
      </c>
      <c r="FF36" s="430">
        <v>71.17</v>
      </c>
      <c r="FG36" s="430">
        <v>68.23</v>
      </c>
      <c r="FH36" s="430">
        <v>69.2</v>
      </c>
      <c r="FI36" s="430">
        <v>71.16</v>
      </c>
      <c r="FJ36" s="430">
        <v>82.9</v>
      </c>
      <c r="FK36" s="430">
        <v>88.88</v>
      </c>
      <c r="FL36" s="430">
        <v>80.14</v>
      </c>
      <c r="FM36" s="430">
        <v>89.43</v>
      </c>
      <c r="FN36" s="430">
        <v>102.78</v>
      </c>
      <c r="FO36" s="430">
        <v>102.25</v>
      </c>
      <c r="FP36" s="430">
        <v>100.32</v>
      </c>
      <c r="FQ36" s="430">
        <v>81.34</v>
      </c>
      <c r="FR36" s="430">
        <v>90.67</v>
      </c>
      <c r="FS36" s="430">
        <v>91.86</v>
      </c>
      <c r="FT36" s="430">
        <v>95.99</v>
      </c>
      <c r="FU36" s="430">
        <v>94.95</v>
      </c>
      <c r="FV36" s="271">
        <f t="shared" si="28"/>
        <v>76.634888888888895</v>
      </c>
      <c r="FW36" s="312"/>
    </row>
    <row r="37" spans="1:179" ht="26.25" customHeight="1">
      <c r="A37" s="1066"/>
      <c r="B37" s="398" t="s">
        <v>305</v>
      </c>
      <c r="C37" s="399" t="s">
        <v>319</v>
      </c>
      <c r="D37" s="399">
        <v>0.14000000000000001</v>
      </c>
      <c r="E37" s="1058"/>
      <c r="F37" s="422" t="s">
        <v>130</v>
      </c>
      <c r="G37" s="423">
        <f t="shared" ref="G37:BR37" si="33">$D$37*G16</f>
        <v>16018.893333333333</v>
      </c>
      <c r="H37" s="423">
        <f t="shared" si="33"/>
        <v>16018.893333333333</v>
      </c>
      <c r="I37" s="423">
        <f t="shared" si="33"/>
        <v>16018.893333333333</v>
      </c>
      <c r="J37" s="423">
        <f t="shared" si="33"/>
        <v>16018.893333333333</v>
      </c>
      <c r="K37" s="423">
        <f t="shared" si="33"/>
        <v>16018.893333333333</v>
      </c>
      <c r="L37" s="423">
        <f t="shared" si="33"/>
        <v>16018.893333333333</v>
      </c>
      <c r="M37" s="423">
        <f t="shared" si="33"/>
        <v>16018.893333333333</v>
      </c>
      <c r="N37" s="423">
        <f t="shared" si="33"/>
        <v>16018.893333333333</v>
      </c>
      <c r="O37" s="423">
        <f t="shared" si="33"/>
        <v>16018.893333333333</v>
      </c>
      <c r="P37" s="423">
        <f t="shared" si="33"/>
        <v>16018.893333333333</v>
      </c>
      <c r="Q37" s="423">
        <f t="shared" si="33"/>
        <v>16018.893333333333</v>
      </c>
      <c r="R37" s="423">
        <f t="shared" si="33"/>
        <v>16018.893333333333</v>
      </c>
      <c r="S37" s="423">
        <f t="shared" si="33"/>
        <v>16018.893333333333</v>
      </c>
      <c r="T37" s="423">
        <f t="shared" si="33"/>
        <v>16018.893333333333</v>
      </c>
      <c r="U37" s="423">
        <f t="shared" si="33"/>
        <v>16018.893333333333</v>
      </c>
      <c r="V37" s="423">
        <f t="shared" si="33"/>
        <v>16018.893333333333</v>
      </c>
      <c r="W37" s="423">
        <f t="shared" si="33"/>
        <v>16018.893333333333</v>
      </c>
      <c r="X37" s="423">
        <f t="shared" si="33"/>
        <v>16018.893333333333</v>
      </c>
      <c r="Y37" s="423">
        <f t="shared" si="33"/>
        <v>16018.893333333333</v>
      </c>
      <c r="Z37" s="423">
        <f t="shared" si="33"/>
        <v>16018.893333333333</v>
      </c>
      <c r="AA37" s="423">
        <f t="shared" si="33"/>
        <v>16018.893333333333</v>
      </c>
      <c r="AB37" s="423">
        <f t="shared" si="33"/>
        <v>16018.893333333333</v>
      </c>
      <c r="AC37" s="423">
        <f t="shared" si="33"/>
        <v>16018.893333333333</v>
      </c>
      <c r="AD37" s="423">
        <f t="shared" si="33"/>
        <v>16018.893333333333</v>
      </c>
      <c r="AE37" s="423">
        <f t="shared" si="33"/>
        <v>16018.893333333333</v>
      </c>
      <c r="AF37" s="423">
        <f t="shared" si="33"/>
        <v>16018.893333333333</v>
      </c>
      <c r="AG37" s="423">
        <f t="shared" si="33"/>
        <v>16018.893333333333</v>
      </c>
      <c r="AH37" s="423">
        <f t="shared" si="33"/>
        <v>16018.893333333333</v>
      </c>
      <c r="AI37" s="423">
        <f t="shared" si="33"/>
        <v>16018.893333333333</v>
      </c>
      <c r="AJ37" s="423">
        <f t="shared" si="33"/>
        <v>16018.893333333333</v>
      </c>
      <c r="AK37" s="423">
        <f t="shared" si="33"/>
        <v>16018.893333333333</v>
      </c>
      <c r="AL37" s="423">
        <f t="shared" si="33"/>
        <v>16018.893333333333</v>
      </c>
      <c r="AM37" s="423">
        <f t="shared" si="33"/>
        <v>16018.893333333333</v>
      </c>
      <c r="AN37" s="423">
        <f t="shared" si="33"/>
        <v>16018.893333333333</v>
      </c>
      <c r="AO37" s="423">
        <f t="shared" si="33"/>
        <v>16018.893333333333</v>
      </c>
      <c r="AP37" s="423">
        <f t="shared" si="33"/>
        <v>16018.893333333333</v>
      </c>
      <c r="AQ37" s="423">
        <f t="shared" si="33"/>
        <v>16018.893333333333</v>
      </c>
      <c r="AR37" s="423">
        <f t="shared" si="33"/>
        <v>16018.893333333333</v>
      </c>
      <c r="AS37" s="423">
        <f t="shared" si="33"/>
        <v>16018.893333333333</v>
      </c>
      <c r="AT37" s="423">
        <f t="shared" si="33"/>
        <v>16018.893333333333</v>
      </c>
      <c r="AU37" s="424">
        <f t="shared" si="33"/>
        <v>16018.893333333333</v>
      </c>
      <c r="AV37" s="424">
        <f t="shared" si="33"/>
        <v>16018.893333333333</v>
      </c>
      <c r="AW37" s="424">
        <f t="shared" si="33"/>
        <v>16018.893333333333</v>
      </c>
      <c r="AX37" s="424">
        <f t="shared" si="33"/>
        <v>16018.893333333333</v>
      </c>
      <c r="AY37" s="424">
        <f t="shared" si="33"/>
        <v>16018.893333333333</v>
      </c>
      <c r="AZ37" s="424">
        <f t="shared" si="33"/>
        <v>16018.893333333333</v>
      </c>
      <c r="BA37" s="424">
        <f t="shared" si="33"/>
        <v>16018.893333333333</v>
      </c>
      <c r="BB37" s="424">
        <f t="shared" si="33"/>
        <v>16018.893333333333</v>
      </c>
      <c r="BC37" s="424">
        <f t="shared" si="33"/>
        <v>16018.893333333333</v>
      </c>
      <c r="BD37" s="424">
        <f t="shared" si="33"/>
        <v>16018.893333333333</v>
      </c>
      <c r="BE37" s="424">
        <f t="shared" si="33"/>
        <v>16018.893333333333</v>
      </c>
      <c r="BF37" s="424">
        <f t="shared" si="33"/>
        <v>16018.893333333333</v>
      </c>
      <c r="BG37" s="424">
        <f t="shared" si="33"/>
        <v>16018.893333333333</v>
      </c>
      <c r="BH37" s="424">
        <f t="shared" si="33"/>
        <v>16018.893333333333</v>
      </c>
      <c r="BI37" s="424">
        <f t="shared" si="33"/>
        <v>16018.893333333333</v>
      </c>
      <c r="BJ37" s="424">
        <f t="shared" si="33"/>
        <v>16018.893333333333</v>
      </c>
      <c r="BK37" s="424">
        <f t="shared" si="33"/>
        <v>16018.893333333333</v>
      </c>
      <c r="BL37" s="424">
        <f t="shared" si="33"/>
        <v>16018.893333333333</v>
      </c>
      <c r="BM37" s="424">
        <f t="shared" si="33"/>
        <v>16018.893333333333</v>
      </c>
      <c r="BN37" s="424">
        <f t="shared" si="33"/>
        <v>16018.893333333333</v>
      </c>
      <c r="BO37" s="424">
        <f t="shared" si="33"/>
        <v>16018.893333333333</v>
      </c>
      <c r="BP37" s="424">
        <f t="shared" si="33"/>
        <v>16018.893333333333</v>
      </c>
      <c r="BQ37" s="424">
        <f t="shared" si="33"/>
        <v>16018.893333333333</v>
      </c>
      <c r="BR37" s="424">
        <f t="shared" si="33"/>
        <v>16018.893333333333</v>
      </c>
      <c r="BS37" s="424">
        <f t="shared" ref="BS37:CL37" si="34">$D$37*BS16</f>
        <v>16018.893333333333</v>
      </c>
      <c r="BT37" s="424">
        <f t="shared" si="34"/>
        <v>16018.893333333333</v>
      </c>
      <c r="BU37" s="424">
        <f t="shared" si="34"/>
        <v>16018.893333333333</v>
      </c>
      <c r="BV37" s="424">
        <f t="shared" si="34"/>
        <v>16018.893333333333</v>
      </c>
      <c r="BW37" s="424">
        <f t="shared" si="34"/>
        <v>16018.893333333333</v>
      </c>
      <c r="BX37" s="424">
        <f t="shared" si="34"/>
        <v>16018.893333333333</v>
      </c>
      <c r="BY37" s="424">
        <f t="shared" si="34"/>
        <v>16018.893333333333</v>
      </c>
      <c r="BZ37" s="424">
        <f t="shared" si="34"/>
        <v>16018.893333333333</v>
      </c>
      <c r="CA37" s="424">
        <f t="shared" si="34"/>
        <v>16018.893333333333</v>
      </c>
      <c r="CB37" s="424">
        <f t="shared" si="34"/>
        <v>16018.893333333333</v>
      </c>
      <c r="CC37" s="424">
        <f t="shared" si="34"/>
        <v>16018.893333333333</v>
      </c>
      <c r="CD37" s="424">
        <f t="shared" si="34"/>
        <v>16018.893333333333</v>
      </c>
      <c r="CE37" s="424">
        <f t="shared" si="34"/>
        <v>16018.893333333333</v>
      </c>
      <c r="CF37" s="424">
        <f t="shared" si="34"/>
        <v>16018.893333333333</v>
      </c>
      <c r="CG37" s="424">
        <f t="shared" si="34"/>
        <v>16018.893333333333</v>
      </c>
      <c r="CH37" s="424">
        <f t="shared" si="34"/>
        <v>16018.893333333333</v>
      </c>
      <c r="CI37" s="424">
        <f t="shared" si="34"/>
        <v>16018.893333333333</v>
      </c>
      <c r="CJ37" s="424">
        <f t="shared" si="34"/>
        <v>16018.893333333333</v>
      </c>
      <c r="CK37" s="424">
        <f t="shared" si="34"/>
        <v>16018.893333333333</v>
      </c>
      <c r="CL37" s="422">
        <f t="shared" si="34"/>
        <v>16018.893333333333</v>
      </c>
      <c r="CM37" s="397">
        <f t="shared" si="27"/>
        <v>16018.893333333317</v>
      </c>
      <c r="CN37" s="429" t="s">
        <v>179</v>
      </c>
      <c r="CO37" s="430">
        <v>3.25</v>
      </c>
      <c r="CP37" s="430">
        <v>3.25</v>
      </c>
      <c r="CQ37" s="430">
        <v>3.25</v>
      </c>
      <c r="CR37" s="430">
        <v>3.25</v>
      </c>
      <c r="CS37" s="430">
        <v>3.25</v>
      </c>
      <c r="CT37" s="430">
        <v>3.5</v>
      </c>
      <c r="CU37" s="430">
        <v>3.5</v>
      </c>
      <c r="CV37" s="430">
        <v>3.5</v>
      </c>
      <c r="CW37" s="430">
        <v>3.5</v>
      </c>
      <c r="CX37" s="430">
        <v>3.5</v>
      </c>
      <c r="CY37" s="430">
        <v>3.5</v>
      </c>
      <c r="CZ37" s="430">
        <v>3.5</v>
      </c>
      <c r="DA37" s="430">
        <v>3.5</v>
      </c>
      <c r="DB37" s="430">
        <v>3.5</v>
      </c>
      <c r="DC37" s="430">
        <v>3.5</v>
      </c>
      <c r="DD37" s="430">
        <v>3.5</v>
      </c>
      <c r="DE37" s="430">
        <v>3.5574974358974401</v>
      </c>
      <c r="DF37" s="430">
        <v>3.5365333333333302</v>
      </c>
      <c r="DG37" s="430">
        <v>3.5155692307692301</v>
      </c>
      <c r="DH37" s="430">
        <v>3.49460512820513</v>
      </c>
      <c r="DI37" s="430">
        <v>3.4736410256410299</v>
      </c>
      <c r="DJ37" s="430">
        <v>3.4526769230769201</v>
      </c>
      <c r="DK37" s="430">
        <v>3.43171282051282</v>
      </c>
      <c r="DL37" s="430">
        <v>3.4107487179487199</v>
      </c>
      <c r="DM37" s="430">
        <v>3.3897846153846101</v>
      </c>
      <c r="DN37" s="430">
        <v>3.36882051282051</v>
      </c>
      <c r="DO37" s="430">
        <v>3.3478564102564099</v>
      </c>
      <c r="DP37" s="430">
        <v>3.3268923076923098</v>
      </c>
      <c r="DQ37" s="430">
        <v>3.3059282051282</v>
      </c>
      <c r="DR37" s="430">
        <v>3.2849641025640999</v>
      </c>
      <c r="DS37" s="430">
        <v>3.2639999999999998</v>
      </c>
      <c r="DT37" s="430">
        <v>3.2430358974359002</v>
      </c>
      <c r="DU37" s="430">
        <v>3.2220717948717899</v>
      </c>
      <c r="DV37" s="430">
        <v>3.2011076923076902</v>
      </c>
      <c r="DW37" s="430">
        <v>3.1801435897435901</v>
      </c>
      <c r="DX37" s="430">
        <v>3.15917948717949</v>
      </c>
      <c r="DY37" s="430">
        <v>3.1382153846153802</v>
      </c>
      <c r="DZ37" s="430">
        <v>3.1172512820512801</v>
      </c>
      <c r="EA37" s="430">
        <v>3.09628717948718</v>
      </c>
      <c r="EB37" s="430">
        <v>3.0753230769230799</v>
      </c>
      <c r="EC37" s="430">
        <v>2.19</v>
      </c>
      <c r="ED37" s="430">
        <v>3.16</v>
      </c>
      <c r="EE37" s="430">
        <v>3.15</v>
      </c>
      <c r="EF37" s="430">
        <v>2.71</v>
      </c>
      <c r="EG37" s="430">
        <v>2.67</v>
      </c>
      <c r="EH37" s="430">
        <v>2.98</v>
      </c>
      <c r="EI37" s="430">
        <v>3.6</v>
      </c>
      <c r="EJ37" s="430">
        <v>3.3</v>
      </c>
      <c r="EK37" s="430">
        <v>3.19</v>
      </c>
      <c r="EL37" s="430">
        <v>3.54</v>
      </c>
      <c r="EM37" s="430">
        <v>3.04</v>
      </c>
      <c r="EN37" s="430">
        <v>2.95</v>
      </c>
      <c r="EO37" s="430">
        <v>2.5499999999999998</v>
      </c>
      <c r="EP37" s="430">
        <v>3.17</v>
      </c>
      <c r="EQ37" s="430">
        <v>2.7</v>
      </c>
      <c r="ER37" s="430">
        <v>2.14</v>
      </c>
      <c r="ES37" s="430">
        <v>2.11</v>
      </c>
      <c r="ET37" s="430">
        <v>2.31</v>
      </c>
      <c r="EU37" s="430">
        <v>2.5499999999999998</v>
      </c>
      <c r="EV37" s="430">
        <v>2.8</v>
      </c>
      <c r="EW37" s="430">
        <v>2.42</v>
      </c>
      <c r="EX37" s="430">
        <v>2.8</v>
      </c>
      <c r="EY37" s="430">
        <v>2.73</v>
      </c>
      <c r="EZ37" s="430">
        <v>2.99</v>
      </c>
      <c r="FA37" s="430">
        <v>2.38</v>
      </c>
      <c r="FB37" s="430">
        <v>2.4700000000000002</v>
      </c>
      <c r="FC37" s="430">
        <v>1.66</v>
      </c>
      <c r="FD37" s="430">
        <v>2.34</v>
      </c>
      <c r="FE37" s="430">
        <v>2.73</v>
      </c>
      <c r="FF37" s="430">
        <v>1.44</v>
      </c>
      <c r="FG37" s="430">
        <v>1.22</v>
      </c>
      <c r="FH37" s="430">
        <v>1.58</v>
      </c>
      <c r="FI37" s="430">
        <v>2.04</v>
      </c>
      <c r="FJ37" s="430">
        <v>2.15</v>
      </c>
      <c r="FK37" s="430">
        <v>2.37</v>
      </c>
      <c r="FL37" s="430">
        <v>2.61</v>
      </c>
      <c r="FM37" s="430">
        <v>2.96</v>
      </c>
      <c r="FN37" s="430">
        <v>3.52</v>
      </c>
      <c r="FO37" s="430">
        <v>3.35</v>
      </c>
      <c r="FP37" s="430">
        <v>2.69</v>
      </c>
      <c r="FQ37" s="430">
        <v>2.57</v>
      </c>
      <c r="FR37" s="430">
        <v>2.83</v>
      </c>
      <c r="FS37" s="430">
        <v>3.48</v>
      </c>
      <c r="FT37" s="430">
        <v>3.56</v>
      </c>
      <c r="FU37" s="430">
        <v>3.74</v>
      </c>
      <c r="FV37" s="271">
        <f t="shared" si="28"/>
        <v>2.6986666666666661</v>
      </c>
      <c r="FW37" s="312"/>
    </row>
    <row r="38" spans="1:179">
      <c r="A38" s="1066"/>
      <c r="B38" s="398" t="s">
        <v>305</v>
      </c>
      <c r="C38" s="399" t="s">
        <v>320</v>
      </c>
      <c r="D38" s="399">
        <v>15.58</v>
      </c>
      <c r="E38" s="1058"/>
      <c r="F38" s="422" t="s">
        <v>129</v>
      </c>
      <c r="G38" s="423">
        <f t="shared" ref="G38:BR38" si="35">$D$38*G16</f>
        <v>1782673.9866666666</v>
      </c>
      <c r="H38" s="423">
        <f t="shared" si="35"/>
        <v>1782673.9866666666</v>
      </c>
      <c r="I38" s="423">
        <f t="shared" si="35"/>
        <v>1782673.9866666666</v>
      </c>
      <c r="J38" s="423">
        <f t="shared" si="35"/>
        <v>1782673.9866666666</v>
      </c>
      <c r="K38" s="423">
        <f t="shared" si="35"/>
        <v>1782673.9866666666</v>
      </c>
      <c r="L38" s="423">
        <f t="shared" si="35"/>
        <v>1782673.9866666666</v>
      </c>
      <c r="M38" s="423">
        <f t="shared" si="35"/>
        <v>1782673.9866666666</v>
      </c>
      <c r="N38" s="423">
        <f t="shared" si="35"/>
        <v>1782673.9866666666</v>
      </c>
      <c r="O38" s="423">
        <f t="shared" si="35"/>
        <v>1782673.9866666666</v>
      </c>
      <c r="P38" s="423">
        <f t="shared" si="35"/>
        <v>1782673.9866666666</v>
      </c>
      <c r="Q38" s="423">
        <f t="shared" si="35"/>
        <v>1782673.9866666666</v>
      </c>
      <c r="R38" s="423">
        <f t="shared" si="35"/>
        <v>1782673.9866666666</v>
      </c>
      <c r="S38" s="423">
        <f t="shared" si="35"/>
        <v>1782673.9866666666</v>
      </c>
      <c r="T38" s="423">
        <f t="shared" si="35"/>
        <v>1782673.9866666666</v>
      </c>
      <c r="U38" s="423">
        <f t="shared" si="35"/>
        <v>1782673.9866666666</v>
      </c>
      <c r="V38" s="423">
        <f t="shared" si="35"/>
        <v>1782673.9866666666</v>
      </c>
      <c r="W38" s="423">
        <f t="shared" si="35"/>
        <v>1782673.9866666666</v>
      </c>
      <c r="X38" s="423">
        <f t="shared" si="35"/>
        <v>1782673.9866666666</v>
      </c>
      <c r="Y38" s="423">
        <f t="shared" si="35"/>
        <v>1782673.9866666666</v>
      </c>
      <c r="Z38" s="423">
        <f t="shared" si="35"/>
        <v>1782673.9866666666</v>
      </c>
      <c r="AA38" s="423">
        <f t="shared" si="35"/>
        <v>1782673.9866666666</v>
      </c>
      <c r="AB38" s="423">
        <f t="shared" si="35"/>
        <v>1782673.9866666666</v>
      </c>
      <c r="AC38" s="423">
        <f t="shared" si="35"/>
        <v>1782673.9866666666</v>
      </c>
      <c r="AD38" s="423">
        <f t="shared" si="35"/>
        <v>1782673.9866666666</v>
      </c>
      <c r="AE38" s="423">
        <f t="shared" si="35"/>
        <v>1782673.9866666666</v>
      </c>
      <c r="AF38" s="423">
        <f t="shared" si="35"/>
        <v>1782673.9866666666</v>
      </c>
      <c r="AG38" s="423">
        <f t="shared" si="35"/>
        <v>1782673.9866666666</v>
      </c>
      <c r="AH38" s="423">
        <f t="shared" si="35"/>
        <v>1782673.9866666666</v>
      </c>
      <c r="AI38" s="423">
        <f t="shared" si="35"/>
        <v>1782673.9866666666</v>
      </c>
      <c r="AJ38" s="423">
        <f t="shared" si="35"/>
        <v>1782673.9866666666</v>
      </c>
      <c r="AK38" s="423">
        <f t="shared" si="35"/>
        <v>1782673.9866666666</v>
      </c>
      <c r="AL38" s="423">
        <f t="shared" si="35"/>
        <v>1782673.9866666666</v>
      </c>
      <c r="AM38" s="423">
        <f t="shared" si="35"/>
        <v>1782673.9866666666</v>
      </c>
      <c r="AN38" s="423">
        <f t="shared" si="35"/>
        <v>1782673.9866666666</v>
      </c>
      <c r="AO38" s="423">
        <f t="shared" si="35"/>
        <v>1782673.9866666666</v>
      </c>
      <c r="AP38" s="423">
        <f t="shared" si="35"/>
        <v>1782673.9866666666</v>
      </c>
      <c r="AQ38" s="423">
        <f t="shared" si="35"/>
        <v>1782673.9866666666</v>
      </c>
      <c r="AR38" s="423">
        <f t="shared" si="35"/>
        <v>1782673.9866666666</v>
      </c>
      <c r="AS38" s="423">
        <f t="shared" si="35"/>
        <v>1782673.9866666666</v>
      </c>
      <c r="AT38" s="423">
        <f t="shared" si="35"/>
        <v>1782673.9866666666</v>
      </c>
      <c r="AU38" s="424">
        <f t="shared" si="35"/>
        <v>1782673.9866666666</v>
      </c>
      <c r="AV38" s="424">
        <f t="shared" si="35"/>
        <v>1782673.9866666666</v>
      </c>
      <c r="AW38" s="424">
        <f t="shared" si="35"/>
        <v>1782673.9866666666</v>
      </c>
      <c r="AX38" s="424">
        <f t="shared" si="35"/>
        <v>1782673.9866666666</v>
      </c>
      <c r="AY38" s="424">
        <f t="shared" si="35"/>
        <v>1782673.9866666666</v>
      </c>
      <c r="AZ38" s="424">
        <f t="shared" si="35"/>
        <v>1782673.9866666666</v>
      </c>
      <c r="BA38" s="424">
        <f t="shared" si="35"/>
        <v>1782673.9866666666</v>
      </c>
      <c r="BB38" s="424">
        <f t="shared" si="35"/>
        <v>1782673.9866666666</v>
      </c>
      <c r="BC38" s="424">
        <f t="shared" si="35"/>
        <v>1782673.9866666666</v>
      </c>
      <c r="BD38" s="424">
        <f t="shared" si="35"/>
        <v>1782673.9866666666</v>
      </c>
      <c r="BE38" s="424">
        <f t="shared" si="35"/>
        <v>1782673.9866666666</v>
      </c>
      <c r="BF38" s="424">
        <f t="shared" si="35"/>
        <v>1782673.9866666666</v>
      </c>
      <c r="BG38" s="424">
        <f t="shared" si="35"/>
        <v>1782673.9866666666</v>
      </c>
      <c r="BH38" s="424">
        <f t="shared" si="35"/>
        <v>1782673.9866666666</v>
      </c>
      <c r="BI38" s="424">
        <f t="shared" si="35"/>
        <v>1782673.9866666666</v>
      </c>
      <c r="BJ38" s="424">
        <f t="shared" si="35"/>
        <v>1782673.9866666666</v>
      </c>
      <c r="BK38" s="424">
        <f t="shared" si="35"/>
        <v>1782673.9866666666</v>
      </c>
      <c r="BL38" s="424">
        <f t="shared" si="35"/>
        <v>1782673.9866666666</v>
      </c>
      <c r="BM38" s="424">
        <f t="shared" si="35"/>
        <v>1782673.9866666666</v>
      </c>
      <c r="BN38" s="424">
        <f t="shared" si="35"/>
        <v>1782673.9866666666</v>
      </c>
      <c r="BO38" s="424">
        <f t="shared" si="35"/>
        <v>1782673.9866666666</v>
      </c>
      <c r="BP38" s="424">
        <f t="shared" si="35"/>
        <v>1782673.9866666666</v>
      </c>
      <c r="BQ38" s="424">
        <f t="shared" si="35"/>
        <v>1782673.9866666666</v>
      </c>
      <c r="BR38" s="424">
        <f t="shared" si="35"/>
        <v>1782673.9866666666</v>
      </c>
      <c r="BS38" s="424">
        <f t="shared" ref="BS38:CL38" si="36">$D$38*BS16</f>
        <v>1782673.9866666666</v>
      </c>
      <c r="BT38" s="424">
        <f t="shared" si="36"/>
        <v>1782673.9866666666</v>
      </c>
      <c r="BU38" s="424">
        <f t="shared" si="36"/>
        <v>1782673.9866666666</v>
      </c>
      <c r="BV38" s="424">
        <f t="shared" si="36"/>
        <v>1782673.9866666666</v>
      </c>
      <c r="BW38" s="424">
        <f t="shared" si="36"/>
        <v>1782673.9866666666</v>
      </c>
      <c r="BX38" s="424">
        <f t="shared" si="36"/>
        <v>1782673.9866666666</v>
      </c>
      <c r="BY38" s="424">
        <f t="shared" si="36"/>
        <v>1782673.9866666666</v>
      </c>
      <c r="BZ38" s="424">
        <f t="shared" si="36"/>
        <v>1782673.9866666666</v>
      </c>
      <c r="CA38" s="424">
        <f t="shared" si="36"/>
        <v>1782673.9866666666</v>
      </c>
      <c r="CB38" s="424">
        <f t="shared" si="36"/>
        <v>1782673.9866666666</v>
      </c>
      <c r="CC38" s="424">
        <f t="shared" si="36"/>
        <v>1782673.9866666666</v>
      </c>
      <c r="CD38" s="424">
        <f t="shared" si="36"/>
        <v>1782673.9866666666</v>
      </c>
      <c r="CE38" s="424">
        <f t="shared" si="36"/>
        <v>1782673.9866666666</v>
      </c>
      <c r="CF38" s="424">
        <f t="shared" si="36"/>
        <v>1782673.9866666666</v>
      </c>
      <c r="CG38" s="424">
        <f t="shared" si="36"/>
        <v>1782673.9866666666</v>
      </c>
      <c r="CH38" s="424">
        <f t="shared" si="36"/>
        <v>1782673.9866666666</v>
      </c>
      <c r="CI38" s="424">
        <f t="shared" si="36"/>
        <v>1782673.9866666666</v>
      </c>
      <c r="CJ38" s="424">
        <f t="shared" si="36"/>
        <v>1782673.9866666666</v>
      </c>
      <c r="CK38" s="424">
        <f t="shared" si="36"/>
        <v>1782673.9866666666</v>
      </c>
      <c r="CL38" s="422">
        <f t="shared" si="36"/>
        <v>1782673.9866666666</v>
      </c>
      <c r="CM38" s="397">
        <f t="shared" si="27"/>
        <v>1782673.9866666666</v>
      </c>
      <c r="CN38" s="431" t="s">
        <v>217</v>
      </c>
      <c r="CO38" s="432">
        <v>3</v>
      </c>
      <c r="CP38" s="432">
        <v>3</v>
      </c>
      <c r="CQ38" s="432">
        <v>3</v>
      </c>
      <c r="CR38" s="432">
        <v>3</v>
      </c>
      <c r="CS38" s="432">
        <v>3</v>
      </c>
      <c r="CT38" s="432">
        <v>3</v>
      </c>
      <c r="CU38" s="432">
        <v>3</v>
      </c>
      <c r="CV38" s="432">
        <v>3</v>
      </c>
      <c r="CW38" s="432">
        <v>3</v>
      </c>
      <c r="CX38" s="432">
        <v>3</v>
      </c>
      <c r="CY38" s="432">
        <v>3</v>
      </c>
      <c r="CZ38" s="432">
        <v>3</v>
      </c>
      <c r="DA38" s="432">
        <v>3</v>
      </c>
      <c r="DB38" s="432">
        <v>3</v>
      </c>
      <c r="DC38" s="432">
        <v>3</v>
      </c>
      <c r="DD38" s="432">
        <v>3</v>
      </c>
      <c r="DE38" s="432">
        <v>3</v>
      </c>
      <c r="DF38" s="432">
        <v>3</v>
      </c>
      <c r="DG38" s="432">
        <v>3</v>
      </c>
      <c r="DH38" s="432">
        <v>3</v>
      </c>
      <c r="DI38" s="432">
        <v>3</v>
      </c>
      <c r="DJ38" s="432">
        <v>3</v>
      </c>
      <c r="DK38" s="432">
        <v>3</v>
      </c>
      <c r="DL38" s="432">
        <v>3</v>
      </c>
      <c r="DM38" s="432">
        <v>3</v>
      </c>
      <c r="DN38" s="432">
        <v>3</v>
      </c>
      <c r="DO38" s="432">
        <v>3</v>
      </c>
      <c r="DP38" s="432">
        <v>3</v>
      </c>
      <c r="DQ38" s="432">
        <v>3</v>
      </c>
      <c r="DR38" s="432">
        <v>3</v>
      </c>
      <c r="DS38" s="432">
        <v>3</v>
      </c>
      <c r="DT38" s="432">
        <v>3</v>
      </c>
      <c r="DU38" s="432">
        <v>3</v>
      </c>
      <c r="DV38" s="432">
        <v>3</v>
      </c>
      <c r="DW38" s="432">
        <v>3</v>
      </c>
      <c r="DX38" s="432">
        <v>3</v>
      </c>
      <c r="DY38" s="432">
        <v>3</v>
      </c>
      <c r="DZ38" s="432">
        <v>3</v>
      </c>
      <c r="EA38" s="432">
        <v>3</v>
      </c>
      <c r="EB38" s="432">
        <v>3</v>
      </c>
      <c r="EC38" s="432">
        <v>3</v>
      </c>
      <c r="ED38" s="432">
        <v>3</v>
      </c>
      <c r="EE38" s="432">
        <v>3</v>
      </c>
      <c r="EF38" s="432">
        <v>3</v>
      </c>
      <c r="EG38" s="432">
        <v>3</v>
      </c>
      <c r="EH38" s="432">
        <v>3</v>
      </c>
      <c r="EI38" s="432">
        <v>3</v>
      </c>
      <c r="EJ38" s="432">
        <v>3</v>
      </c>
      <c r="EK38" s="432">
        <v>3</v>
      </c>
      <c r="EL38" s="432">
        <v>3</v>
      </c>
      <c r="EM38" s="432">
        <v>3</v>
      </c>
      <c r="EN38" s="432">
        <v>3</v>
      </c>
      <c r="EO38" s="432">
        <v>3</v>
      </c>
      <c r="EP38" s="432">
        <v>3</v>
      </c>
      <c r="EQ38" s="432">
        <v>3</v>
      </c>
      <c r="ER38" s="432">
        <v>3</v>
      </c>
      <c r="ES38" s="432">
        <v>3</v>
      </c>
      <c r="ET38" s="432">
        <v>3</v>
      </c>
      <c r="EU38" s="432">
        <v>3</v>
      </c>
      <c r="EV38" s="432">
        <v>3</v>
      </c>
      <c r="EW38" s="432">
        <v>3</v>
      </c>
      <c r="EX38" s="432">
        <v>3</v>
      </c>
      <c r="EY38" s="432">
        <v>3</v>
      </c>
      <c r="EZ38" s="432">
        <v>3</v>
      </c>
      <c r="FA38" s="432">
        <v>3</v>
      </c>
      <c r="FB38" s="432">
        <v>3</v>
      </c>
      <c r="FC38" s="432">
        <v>3</v>
      </c>
      <c r="FD38" s="432">
        <v>3</v>
      </c>
      <c r="FE38" s="432">
        <v>3</v>
      </c>
      <c r="FF38" s="432">
        <v>3</v>
      </c>
      <c r="FG38" s="432">
        <v>3</v>
      </c>
      <c r="FH38" s="432">
        <v>3</v>
      </c>
      <c r="FI38" s="432">
        <v>3</v>
      </c>
      <c r="FJ38" s="432">
        <v>3</v>
      </c>
      <c r="FK38" s="432">
        <v>3</v>
      </c>
      <c r="FL38" s="432">
        <v>3</v>
      </c>
      <c r="FM38" s="432">
        <v>3</v>
      </c>
      <c r="FN38" s="432">
        <v>3</v>
      </c>
      <c r="FO38" s="432">
        <v>3</v>
      </c>
      <c r="FP38" s="432">
        <v>3</v>
      </c>
      <c r="FQ38" s="432">
        <v>3</v>
      </c>
      <c r="FR38" s="432">
        <v>3</v>
      </c>
      <c r="FS38" s="432">
        <v>3</v>
      </c>
      <c r="FT38" s="432">
        <v>3</v>
      </c>
      <c r="FU38" s="432">
        <v>3</v>
      </c>
      <c r="FV38" s="271">
        <f t="shared" si="28"/>
        <v>3</v>
      </c>
      <c r="FW38" s="312"/>
    </row>
    <row r="39" spans="1:179">
      <c r="A39" s="1066"/>
      <c r="B39" s="398" t="s">
        <v>305</v>
      </c>
      <c r="C39" s="399" t="s">
        <v>320</v>
      </c>
      <c r="D39" s="399">
        <v>16.829999999999998</v>
      </c>
      <c r="E39" s="1058"/>
      <c r="F39" s="422" t="s">
        <v>321</v>
      </c>
      <c r="G39" s="423">
        <f>$D$39*G16</f>
        <v>1925699.8199999996</v>
      </c>
      <c r="H39" s="423">
        <f t="shared" ref="H39:BS39" si="37">$D$39*H16</f>
        <v>1925699.8199999996</v>
      </c>
      <c r="I39" s="423">
        <f t="shared" si="37"/>
        <v>1925699.8199999996</v>
      </c>
      <c r="J39" s="423">
        <f t="shared" si="37"/>
        <v>1925699.8199999996</v>
      </c>
      <c r="K39" s="423">
        <f t="shared" si="37"/>
        <v>1925699.8199999996</v>
      </c>
      <c r="L39" s="423">
        <f t="shared" si="37"/>
        <v>1925699.8199999996</v>
      </c>
      <c r="M39" s="423">
        <f t="shared" si="37"/>
        <v>1925699.8199999996</v>
      </c>
      <c r="N39" s="423">
        <f t="shared" si="37"/>
        <v>1925699.8199999996</v>
      </c>
      <c r="O39" s="423">
        <f t="shared" si="37"/>
        <v>1925699.8199999996</v>
      </c>
      <c r="P39" s="423">
        <f t="shared" si="37"/>
        <v>1925699.8199999996</v>
      </c>
      <c r="Q39" s="423">
        <f t="shared" si="37"/>
        <v>1925699.8199999996</v>
      </c>
      <c r="R39" s="423">
        <f t="shared" si="37"/>
        <v>1925699.8199999996</v>
      </c>
      <c r="S39" s="423">
        <f t="shared" si="37"/>
        <v>1925699.8199999996</v>
      </c>
      <c r="T39" s="423">
        <f t="shared" si="37"/>
        <v>1925699.8199999996</v>
      </c>
      <c r="U39" s="423">
        <f t="shared" si="37"/>
        <v>1925699.8199999996</v>
      </c>
      <c r="V39" s="423">
        <f t="shared" si="37"/>
        <v>1925699.8199999996</v>
      </c>
      <c r="W39" s="423">
        <f t="shared" si="37"/>
        <v>1925699.8199999996</v>
      </c>
      <c r="X39" s="423">
        <f t="shared" si="37"/>
        <v>1925699.8199999996</v>
      </c>
      <c r="Y39" s="423">
        <f t="shared" si="37"/>
        <v>1925699.8199999996</v>
      </c>
      <c r="Z39" s="423">
        <f t="shared" si="37"/>
        <v>1925699.8199999996</v>
      </c>
      <c r="AA39" s="423">
        <f t="shared" si="37"/>
        <v>1925699.8199999996</v>
      </c>
      <c r="AB39" s="423">
        <f t="shared" si="37"/>
        <v>1925699.8199999996</v>
      </c>
      <c r="AC39" s="423">
        <f t="shared" si="37"/>
        <v>1925699.8199999996</v>
      </c>
      <c r="AD39" s="423">
        <f t="shared" si="37"/>
        <v>1925699.8199999996</v>
      </c>
      <c r="AE39" s="423">
        <f t="shared" si="37"/>
        <v>1925699.8199999996</v>
      </c>
      <c r="AF39" s="423">
        <f t="shared" si="37"/>
        <v>1925699.8199999996</v>
      </c>
      <c r="AG39" s="423">
        <f t="shared" si="37"/>
        <v>1925699.8199999996</v>
      </c>
      <c r="AH39" s="423">
        <f t="shared" si="37"/>
        <v>1925699.8199999996</v>
      </c>
      <c r="AI39" s="423">
        <f t="shared" si="37"/>
        <v>1925699.8199999996</v>
      </c>
      <c r="AJ39" s="423">
        <f t="shared" si="37"/>
        <v>1925699.8199999996</v>
      </c>
      <c r="AK39" s="423">
        <f t="shared" si="37"/>
        <v>1925699.8199999996</v>
      </c>
      <c r="AL39" s="423">
        <f t="shared" si="37"/>
        <v>1925699.8199999996</v>
      </c>
      <c r="AM39" s="423">
        <f t="shared" si="37"/>
        <v>1925699.8199999996</v>
      </c>
      <c r="AN39" s="423">
        <f t="shared" si="37"/>
        <v>1925699.8199999996</v>
      </c>
      <c r="AO39" s="423">
        <f t="shared" si="37"/>
        <v>1925699.8199999996</v>
      </c>
      <c r="AP39" s="423">
        <f t="shared" si="37"/>
        <v>1925699.8199999996</v>
      </c>
      <c r="AQ39" s="423">
        <f t="shared" si="37"/>
        <v>1925699.8199999996</v>
      </c>
      <c r="AR39" s="423">
        <f t="shared" si="37"/>
        <v>1925699.8199999996</v>
      </c>
      <c r="AS39" s="423">
        <f t="shared" si="37"/>
        <v>1925699.8199999996</v>
      </c>
      <c r="AT39" s="423">
        <f t="shared" si="37"/>
        <v>1925699.8199999996</v>
      </c>
      <c r="AU39" s="423">
        <f t="shared" si="37"/>
        <v>1925699.8199999996</v>
      </c>
      <c r="AV39" s="423">
        <f t="shared" si="37"/>
        <v>1925699.8199999996</v>
      </c>
      <c r="AW39" s="423">
        <f t="shared" si="37"/>
        <v>1925699.8199999996</v>
      </c>
      <c r="AX39" s="423">
        <f t="shared" si="37"/>
        <v>1925699.8199999996</v>
      </c>
      <c r="AY39" s="423">
        <f t="shared" si="37"/>
        <v>1925699.8199999996</v>
      </c>
      <c r="AZ39" s="423">
        <f t="shared" si="37"/>
        <v>1925699.8199999996</v>
      </c>
      <c r="BA39" s="423">
        <f t="shared" si="37"/>
        <v>1925699.8199999996</v>
      </c>
      <c r="BB39" s="423">
        <f t="shared" si="37"/>
        <v>1925699.8199999996</v>
      </c>
      <c r="BC39" s="423">
        <f t="shared" si="37"/>
        <v>1925699.8199999996</v>
      </c>
      <c r="BD39" s="423">
        <f t="shared" si="37"/>
        <v>1925699.8199999996</v>
      </c>
      <c r="BE39" s="423">
        <f t="shared" si="37"/>
        <v>1925699.8199999996</v>
      </c>
      <c r="BF39" s="423">
        <f t="shared" si="37"/>
        <v>1925699.8199999996</v>
      </c>
      <c r="BG39" s="423">
        <f t="shared" si="37"/>
        <v>1925699.8199999996</v>
      </c>
      <c r="BH39" s="423">
        <f t="shared" si="37"/>
        <v>1925699.8199999996</v>
      </c>
      <c r="BI39" s="423">
        <f t="shared" si="37"/>
        <v>1925699.8199999996</v>
      </c>
      <c r="BJ39" s="423">
        <f t="shared" si="37"/>
        <v>1925699.8199999996</v>
      </c>
      <c r="BK39" s="423">
        <f t="shared" si="37"/>
        <v>1925699.8199999996</v>
      </c>
      <c r="BL39" s="423">
        <f t="shared" si="37"/>
        <v>1925699.8199999996</v>
      </c>
      <c r="BM39" s="423">
        <f t="shared" si="37"/>
        <v>1925699.8199999996</v>
      </c>
      <c r="BN39" s="423">
        <f t="shared" si="37"/>
        <v>1925699.8199999996</v>
      </c>
      <c r="BO39" s="423">
        <f t="shared" si="37"/>
        <v>1925699.8199999996</v>
      </c>
      <c r="BP39" s="423">
        <f t="shared" si="37"/>
        <v>1925699.8199999996</v>
      </c>
      <c r="BQ39" s="423">
        <f t="shared" si="37"/>
        <v>1925699.8199999996</v>
      </c>
      <c r="BR39" s="423">
        <f t="shared" si="37"/>
        <v>1925699.8199999996</v>
      </c>
      <c r="BS39" s="423">
        <f t="shared" si="37"/>
        <v>1925699.8199999996</v>
      </c>
      <c r="BT39" s="423">
        <f t="shared" ref="BT39:CL39" si="38">$D$39*BT16</f>
        <v>1925699.8199999996</v>
      </c>
      <c r="BU39" s="423">
        <f t="shared" si="38"/>
        <v>1925699.8199999996</v>
      </c>
      <c r="BV39" s="423">
        <f t="shared" si="38"/>
        <v>1925699.8199999996</v>
      </c>
      <c r="BW39" s="423">
        <f t="shared" si="38"/>
        <v>1925699.8199999996</v>
      </c>
      <c r="BX39" s="423">
        <f t="shared" si="38"/>
        <v>1925699.8199999996</v>
      </c>
      <c r="BY39" s="423">
        <f t="shared" si="38"/>
        <v>1925699.8199999996</v>
      </c>
      <c r="BZ39" s="423">
        <f t="shared" si="38"/>
        <v>1925699.8199999996</v>
      </c>
      <c r="CA39" s="423">
        <f t="shared" si="38"/>
        <v>1925699.8199999996</v>
      </c>
      <c r="CB39" s="423">
        <f t="shared" si="38"/>
        <v>1925699.8199999996</v>
      </c>
      <c r="CC39" s="423">
        <f t="shared" si="38"/>
        <v>1925699.8199999996</v>
      </c>
      <c r="CD39" s="423">
        <f t="shared" si="38"/>
        <v>1925699.8199999996</v>
      </c>
      <c r="CE39" s="423">
        <f t="shared" si="38"/>
        <v>1925699.8199999996</v>
      </c>
      <c r="CF39" s="423">
        <f t="shared" si="38"/>
        <v>1925699.8199999996</v>
      </c>
      <c r="CG39" s="423">
        <f t="shared" si="38"/>
        <v>1925699.8199999996</v>
      </c>
      <c r="CH39" s="423">
        <f t="shared" si="38"/>
        <v>1925699.8199999996</v>
      </c>
      <c r="CI39" s="423">
        <f t="shared" si="38"/>
        <v>1925699.8199999996</v>
      </c>
      <c r="CJ39" s="423">
        <f t="shared" si="38"/>
        <v>1925699.8199999996</v>
      </c>
      <c r="CK39" s="423">
        <f t="shared" si="38"/>
        <v>1925699.8199999996</v>
      </c>
      <c r="CL39" s="423">
        <f t="shared" si="38"/>
        <v>1925699.8199999996</v>
      </c>
      <c r="CM39" s="423">
        <f t="shared" si="27"/>
        <v>1925699.8199999961</v>
      </c>
      <c r="CN39" s="431" t="s">
        <v>218</v>
      </c>
      <c r="CO39" s="432">
        <v>2.4500000000000002</v>
      </c>
      <c r="CP39" s="432">
        <v>2.4500000000000002</v>
      </c>
      <c r="CQ39" s="432">
        <v>2.4500000000000002</v>
      </c>
      <c r="CR39" s="432">
        <v>2.4500000000000002</v>
      </c>
      <c r="CS39" s="432">
        <v>2.4500000000000002</v>
      </c>
      <c r="CT39" s="432">
        <v>2.4500000000000002</v>
      </c>
      <c r="CU39" s="432">
        <v>2.4500000000000002</v>
      </c>
      <c r="CV39" s="432">
        <v>2.4500000000000002</v>
      </c>
      <c r="CW39" s="432">
        <v>2.4500000000000002</v>
      </c>
      <c r="CX39" s="432">
        <v>2.4500000000000002</v>
      </c>
      <c r="CY39" s="432">
        <v>2.4500000000000002</v>
      </c>
      <c r="CZ39" s="432">
        <v>2.4500000000000002</v>
      </c>
      <c r="DA39" s="432">
        <v>2.4500000000000002</v>
      </c>
      <c r="DB39" s="432">
        <v>2.4500000000000002</v>
      </c>
      <c r="DC39" s="432">
        <v>2.4500000000000002</v>
      </c>
      <c r="DD39" s="432">
        <v>2.4500000000000002</v>
      </c>
      <c r="DE39" s="432">
        <v>2.4500000000000002</v>
      </c>
      <c r="DF39" s="432">
        <v>2.4500000000000002</v>
      </c>
      <c r="DG39" s="432">
        <v>2.4500000000000002</v>
      </c>
      <c r="DH39" s="432">
        <v>2.4500000000000002</v>
      </c>
      <c r="DI39" s="432">
        <v>2.4500000000000002</v>
      </c>
      <c r="DJ39" s="432">
        <v>2.4500000000000002</v>
      </c>
      <c r="DK39" s="432">
        <v>2.4500000000000002</v>
      </c>
      <c r="DL39" s="432">
        <v>2.4500000000000002</v>
      </c>
      <c r="DM39" s="432">
        <v>2.4500000000000002</v>
      </c>
      <c r="DN39" s="432">
        <v>2.4500000000000002</v>
      </c>
      <c r="DO39" s="432">
        <v>2.4500000000000002</v>
      </c>
      <c r="DP39" s="432">
        <v>2.4500000000000002</v>
      </c>
      <c r="DQ39" s="432">
        <v>2.4500000000000002</v>
      </c>
      <c r="DR39" s="432">
        <v>2.4500000000000002</v>
      </c>
      <c r="DS39" s="432">
        <v>2.4500000000000002</v>
      </c>
      <c r="DT39" s="432">
        <v>2.4500000000000002</v>
      </c>
      <c r="DU39" s="432">
        <v>2.4500000000000002</v>
      </c>
      <c r="DV39" s="432">
        <v>2.4500000000000002</v>
      </c>
      <c r="DW39" s="432">
        <v>2.4500000000000002</v>
      </c>
      <c r="DX39" s="432">
        <v>2.4500000000000002</v>
      </c>
      <c r="DY39" s="432">
        <v>2.4500000000000002</v>
      </c>
      <c r="DZ39" s="432">
        <v>2.4500000000000002</v>
      </c>
      <c r="EA39" s="432">
        <v>2.4500000000000002</v>
      </c>
      <c r="EB39" s="432">
        <v>2.4500000000000002</v>
      </c>
      <c r="EC39" s="432">
        <v>2.4500000000000002</v>
      </c>
      <c r="ED39" s="432">
        <v>2.4500000000000002</v>
      </c>
      <c r="EE39" s="432">
        <v>2.4500000000000002</v>
      </c>
      <c r="EF39" s="432">
        <v>2.4500000000000002</v>
      </c>
      <c r="EG39" s="432">
        <v>2.4500000000000002</v>
      </c>
      <c r="EH39" s="432">
        <v>2.4500000000000002</v>
      </c>
      <c r="EI39" s="432">
        <v>2.4500000000000002</v>
      </c>
      <c r="EJ39" s="432">
        <v>2.4500000000000002</v>
      </c>
      <c r="EK39" s="432">
        <v>2.4500000000000002</v>
      </c>
      <c r="EL39" s="432">
        <v>2.4500000000000002</v>
      </c>
      <c r="EM39" s="432">
        <v>2.4500000000000002</v>
      </c>
      <c r="EN39" s="432">
        <v>2.4500000000000002</v>
      </c>
      <c r="EO39" s="432">
        <v>2.4500000000000002</v>
      </c>
      <c r="EP39" s="432">
        <v>2.4500000000000002</v>
      </c>
      <c r="EQ39" s="432">
        <v>2.4500000000000002</v>
      </c>
      <c r="ER39" s="432">
        <v>2.4500000000000002</v>
      </c>
      <c r="ES39" s="432">
        <v>2.4500000000000002</v>
      </c>
      <c r="ET39" s="432">
        <v>2.4500000000000002</v>
      </c>
      <c r="EU39" s="432">
        <v>2.4500000000000002</v>
      </c>
      <c r="EV39" s="432">
        <v>2.4500000000000002</v>
      </c>
      <c r="EW39" s="432">
        <v>2.4500000000000002</v>
      </c>
      <c r="EX39" s="432">
        <v>2.4500000000000002</v>
      </c>
      <c r="EY39" s="432">
        <v>2.4500000000000002</v>
      </c>
      <c r="EZ39" s="432">
        <v>2.4500000000000002</v>
      </c>
      <c r="FA39" s="432">
        <v>2.4500000000000002</v>
      </c>
      <c r="FB39" s="432">
        <v>2.4500000000000002</v>
      </c>
      <c r="FC39" s="432">
        <v>2.4500000000000002</v>
      </c>
      <c r="FD39" s="432">
        <v>2.4500000000000002</v>
      </c>
      <c r="FE39" s="432">
        <v>2.4500000000000002</v>
      </c>
      <c r="FF39" s="432">
        <v>2.4500000000000002</v>
      </c>
      <c r="FG39" s="432">
        <v>2.4500000000000002</v>
      </c>
      <c r="FH39" s="432">
        <v>2.4500000000000002</v>
      </c>
      <c r="FI39" s="432">
        <v>2.4500000000000002</v>
      </c>
      <c r="FJ39" s="432">
        <v>2.4500000000000002</v>
      </c>
      <c r="FK39" s="432">
        <v>2.4500000000000002</v>
      </c>
      <c r="FL39" s="432">
        <v>2.4500000000000002</v>
      </c>
      <c r="FM39" s="432">
        <v>2.4500000000000002</v>
      </c>
      <c r="FN39" s="432">
        <v>2.4500000000000002</v>
      </c>
      <c r="FO39" s="432">
        <v>2.4500000000000002</v>
      </c>
      <c r="FP39" s="432">
        <v>2.4500000000000002</v>
      </c>
      <c r="FQ39" s="432">
        <v>2.4500000000000002</v>
      </c>
      <c r="FR39" s="432">
        <v>2.4500000000000002</v>
      </c>
      <c r="FS39" s="432">
        <v>2.4500000000000002</v>
      </c>
      <c r="FT39" s="432">
        <v>2.4500000000000002</v>
      </c>
      <c r="FU39" s="432">
        <v>2.4500000000000002</v>
      </c>
      <c r="FV39" s="271">
        <f t="shared" si="28"/>
        <v>2.450000000000002</v>
      </c>
      <c r="FW39" s="312"/>
    </row>
    <row r="40" spans="1:179">
      <c r="A40" s="1066"/>
      <c r="B40" s="398" t="s">
        <v>305</v>
      </c>
      <c r="C40" s="399" t="s">
        <v>147</v>
      </c>
      <c r="D40" s="399">
        <v>2.8000000000000001E-2</v>
      </c>
      <c r="E40" s="1058"/>
      <c r="F40" s="433" t="s">
        <v>322</v>
      </c>
      <c r="G40" s="423">
        <f t="shared" ref="G40:BR40" si="39">$D$40*G16</f>
        <v>3203.7786666666666</v>
      </c>
      <c r="H40" s="423">
        <f t="shared" si="39"/>
        <v>3203.7786666666666</v>
      </c>
      <c r="I40" s="423">
        <f t="shared" si="39"/>
        <v>3203.7786666666666</v>
      </c>
      <c r="J40" s="423">
        <f t="shared" si="39"/>
        <v>3203.7786666666666</v>
      </c>
      <c r="K40" s="423">
        <f t="shared" si="39"/>
        <v>3203.7786666666666</v>
      </c>
      <c r="L40" s="423">
        <f t="shared" si="39"/>
        <v>3203.7786666666666</v>
      </c>
      <c r="M40" s="423">
        <f t="shared" si="39"/>
        <v>3203.7786666666666</v>
      </c>
      <c r="N40" s="423">
        <f t="shared" si="39"/>
        <v>3203.7786666666666</v>
      </c>
      <c r="O40" s="423">
        <f t="shared" si="39"/>
        <v>3203.7786666666666</v>
      </c>
      <c r="P40" s="423">
        <f t="shared" si="39"/>
        <v>3203.7786666666666</v>
      </c>
      <c r="Q40" s="423">
        <f t="shared" si="39"/>
        <v>3203.7786666666666</v>
      </c>
      <c r="R40" s="423">
        <f t="shared" si="39"/>
        <v>3203.7786666666666</v>
      </c>
      <c r="S40" s="423">
        <f t="shared" si="39"/>
        <v>3203.7786666666666</v>
      </c>
      <c r="T40" s="423">
        <f t="shared" si="39"/>
        <v>3203.7786666666666</v>
      </c>
      <c r="U40" s="423">
        <f t="shared" si="39"/>
        <v>3203.7786666666666</v>
      </c>
      <c r="V40" s="423">
        <f t="shared" si="39"/>
        <v>3203.7786666666666</v>
      </c>
      <c r="W40" s="423">
        <f t="shared" si="39"/>
        <v>3203.7786666666666</v>
      </c>
      <c r="X40" s="423">
        <f t="shared" si="39"/>
        <v>3203.7786666666666</v>
      </c>
      <c r="Y40" s="423">
        <f t="shared" si="39"/>
        <v>3203.7786666666666</v>
      </c>
      <c r="Z40" s="423">
        <f t="shared" si="39"/>
        <v>3203.7786666666666</v>
      </c>
      <c r="AA40" s="423">
        <f t="shared" si="39"/>
        <v>3203.7786666666666</v>
      </c>
      <c r="AB40" s="423">
        <f t="shared" si="39"/>
        <v>3203.7786666666666</v>
      </c>
      <c r="AC40" s="423">
        <f t="shared" si="39"/>
        <v>3203.7786666666666</v>
      </c>
      <c r="AD40" s="423">
        <f t="shared" si="39"/>
        <v>3203.7786666666666</v>
      </c>
      <c r="AE40" s="423">
        <f t="shared" si="39"/>
        <v>3203.7786666666666</v>
      </c>
      <c r="AF40" s="423">
        <f t="shared" si="39"/>
        <v>3203.7786666666666</v>
      </c>
      <c r="AG40" s="423">
        <f t="shared" si="39"/>
        <v>3203.7786666666666</v>
      </c>
      <c r="AH40" s="423">
        <f t="shared" si="39"/>
        <v>3203.7786666666666</v>
      </c>
      <c r="AI40" s="423">
        <f t="shared" si="39"/>
        <v>3203.7786666666666</v>
      </c>
      <c r="AJ40" s="423">
        <f t="shared" si="39"/>
        <v>3203.7786666666666</v>
      </c>
      <c r="AK40" s="423">
        <f t="shared" si="39"/>
        <v>3203.7786666666666</v>
      </c>
      <c r="AL40" s="423">
        <f t="shared" si="39"/>
        <v>3203.7786666666666</v>
      </c>
      <c r="AM40" s="423">
        <f t="shared" si="39"/>
        <v>3203.7786666666666</v>
      </c>
      <c r="AN40" s="423">
        <f t="shared" si="39"/>
        <v>3203.7786666666666</v>
      </c>
      <c r="AO40" s="423">
        <f t="shared" si="39"/>
        <v>3203.7786666666666</v>
      </c>
      <c r="AP40" s="423">
        <f t="shared" si="39"/>
        <v>3203.7786666666666</v>
      </c>
      <c r="AQ40" s="423">
        <f t="shared" si="39"/>
        <v>3203.7786666666666</v>
      </c>
      <c r="AR40" s="423">
        <f t="shared" si="39"/>
        <v>3203.7786666666666</v>
      </c>
      <c r="AS40" s="423">
        <f t="shared" si="39"/>
        <v>3203.7786666666666</v>
      </c>
      <c r="AT40" s="423">
        <f t="shared" si="39"/>
        <v>3203.7786666666666</v>
      </c>
      <c r="AU40" s="424">
        <f t="shared" si="39"/>
        <v>3203.7786666666666</v>
      </c>
      <c r="AV40" s="424">
        <f t="shared" si="39"/>
        <v>3203.7786666666666</v>
      </c>
      <c r="AW40" s="424">
        <f t="shared" si="39"/>
        <v>3203.7786666666666</v>
      </c>
      <c r="AX40" s="424">
        <f t="shared" si="39"/>
        <v>3203.7786666666666</v>
      </c>
      <c r="AY40" s="424">
        <f t="shared" si="39"/>
        <v>3203.7786666666666</v>
      </c>
      <c r="AZ40" s="424">
        <f t="shared" si="39"/>
        <v>3203.7786666666666</v>
      </c>
      <c r="BA40" s="424">
        <f t="shared" si="39"/>
        <v>3203.7786666666666</v>
      </c>
      <c r="BB40" s="424">
        <f t="shared" si="39"/>
        <v>3203.7786666666666</v>
      </c>
      <c r="BC40" s="424">
        <f t="shared" si="39"/>
        <v>3203.7786666666666</v>
      </c>
      <c r="BD40" s="424">
        <f t="shared" si="39"/>
        <v>3203.7786666666666</v>
      </c>
      <c r="BE40" s="424">
        <f t="shared" si="39"/>
        <v>3203.7786666666666</v>
      </c>
      <c r="BF40" s="424">
        <f t="shared" si="39"/>
        <v>3203.7786666666666</v>
      </c>
      <c r="BG40" s="424">
        <f t="shared" si="39"/>
        <v>3203.7786666666666</v>
      </c>
      <c r="BH40" s="424">
        <f t="shared" si="39"/>
        <v>3203.7786666666666</v>
      </c>
      <c r="BI40" s="424">
        <f t="shared" si="39"/>
        <v>3203.7786666666666</v>
      </c>
      <c r="BJ40" s="424">
        <f t="shared" si="39"/>
        <v>3203.7786666666666</v>
      </c>
      <c r="BK40" s="424">
        <f t="shared" si="39"/>
        <v>3203.7786666666666</v>
      </c>
      <c r="BL40" s="424">
        <f t="shared" si="39"/>
        <v>3203.7786666666666</v>
      </c>
      <c r="BM40" s="424">
        <f t="shared" si="39"/>
        <v>3203.7786666666666</v>
      </c>
      <c r="BN40" s="424">
        <f t="shared" si="39"/>
        <v>3203.7786666666666</v>
      </c>
      <c r="BO40" s="424">
        <f t="shared" si="39"/>
        <v>3203.7786666666666</v>
      </c>
      <c r="BP40" s="424">
        <f t="shared" si="39"/>
        <v>3203.7786666666666</v>
      </c>
      <c r="BQ40" s="424">
        <f t="shared" si="39"/>
        <v>3203.7786666666666</v>
      </c>
      <c r="BR40" s="424">
        <f t="shared" si="39"/>
        <v>3203.7786666666666</v>
      </c>
      <c r="BS40" s="424">
        <f t="shared" ref="BS40:CL40" si="40">$D$40*BS16</f>
        <v>3203.7786666666666</v>
      </c>
      <c r="BT40" s="424">
        <f t="shared" si="40"/>
        <v>3203.7786666666666</v>
      </c>
      <c r="BU40" s="424">
        <f t="shared" si="40"/>
        <v>3203.7786666666666</v>
      </c>
      <c r="BV40" s="424">
        <f t="shared" si="40"/>
        <v>3203.7786666666666</v>
      </c>
      <c r="BW40" s="424">
        <f t="shared" si="40"/>
        <v>3203.7786666666666</v>
      </c>
      <c r="BX40" s="424">
        <f t="shared" si="40"/>
        <v>3203.7786666666666</v>
      </c>
      <c r="BY40" s="424">
        <f t="shared" si="40"/>
        <v>3203.7786666666666</v>
      </c>
      <c r="BZ40" s="424">
        <f t="shared" si="40"/>
        <v>3203.7786666666666</v>
      </c>
      <c r="CA40" s="424">
        <f t="shared" si="40"/>
        <v>3203.7786666666666</v>
      </c>
      <c r="CB40" s="424">
        <f t="shared" si="40"/>
        <v>3203.7786666666666</v>
      </c>
      <c r="CC40" s="424">
        <f t="shared" si="40"/>
        <v>3203.7786666666666</v>
      </c>
      <c r="CD40" s="424">
        <f t="shared" si="40"/>
        <v>3203.7786666666666</v>
      </c>
      <c r="CE40" s="424">
        <f t="shared" si="40"/>
        <v>3203.7786666666666</v>
      </c>
      <c r="CF40" s="424">
        <f t="shared" si="40"/>
        <v>3203.7786666666666</v>
      </c>
      <c r="CG40" s="424">
        <f t="shared" si="40"/>
        <v>3203.7786666666666</v>
      </c>
      <c r="CH40" s="424">
        <f t="shared" si="40"/>
        <v>3203.7786666666666</v>
      </c>
      <c r="CI40" s="424">
        <f t="shared" si="40"/>
        <v>3203.7786666666666</v>
      </c>
      <c r="CJ40" s="424">
        <f t="shared" si="40"/>
        <v>3203.7786666666666</v>
      </c>
      <c r="CK40" s="424">
        <f t="shared" si="40"/>
        <v>3203.7786666666666</v>
      </c>
      <c r="CL40" s="422">
        <f t="shared" si="40"/>
        <v>3203.7786666666666</v>
      </c>
      <c r="CM40" s="397">
        <f t="shared" si="27"/>
        <v>3203.7786666666721</v>
      </c>
      <c r="CN40" s="431" t="s">
        <v>219</v>
      </c>
      <c r="CO40" s="432">
        <v>752</v>
      </c>
      <c r="CP40" s="432">
        <v>752</v>
      </c>
      <c r="CQ40" s="432">
        <v>752</v>
      </c>
      <c r="CR40" s="432">
        <v>752</v>
      </c>
      <c r="CS40" s="432">
        <v>752</v>
      </c>
      <c r="CT40" s="432">
        <v>752</v>
      </c>
      <c r="CU40" s="432">
        <v>752</v>
      </c>
      <c r="CV40" s="432">
        <v>752</v>
      </c>
      <c r="CW40" s="432">
        <v>752</v>
      </c>
      <c r="CX40" s="432">
        <v>752</v>
      </c>
      <c r="CY40" s="432">
        <v>752</v>
      </c>
      <c r="CZ40" s="432">
        <v>752</v>
      </c>
      <c r="DA40" s="432">
        <v>752</v>
      </c>
      <c r="DB40" s="432">
        <v>752</v>
      </c>
      <c r="DC40" s="432">
        <v>752</v>
      </c>
      <c r="DD40" s="432">
        <v>752</v>
      </c>
      <c r="DE40" s="432">
        <v>752</v>
      </c>
      <c r="DF40" s="432">
        <v>752</v>
      </c>
      <c r="DG40" s="432">
        <v>752</v>
      </c>
      <c r="DH40" s="432">
        <v>752</v>
      </c>
      <c r="DI40" s="432">
        <v>752</v>
      </c>
      <c r="DJ40" s="432">
        <v>752</v>
      </c>
      <c r="DK40" s="432">
        <v>752</v>
      </c>
      <c r="DL40" s="432">
        <v>752</v>
      </c>
      <c r="DM40" s="432">
        <v>752</v>
      </c>
      <c r="DN40" s="432">
        <v>752</v>
      </c>
      <c r="DO40" s="432">
        <v>752</v>
      </c>
      <c r="DP40" s="432">
        <v>752</v>
      </c>
      <c r="DQ40" s="432">
        <v>752</v>
      </c>
      <c r="DR40" s="432">
        <v>752</v>
      </c>
      <c r="DS40" s="432">
        <v>752</v>
      </c>
      <c r="DT40" s="432">
        <v>752</v>
      </c>
      <c r="DU40" s="432">
        <v>752</v>
      </c>
      <c r="DV40" s="432">
        <v>752</v>
      </c>
      <c r="DW40" s="432">
        <v>752</v>
      </c>
      <c r="DX40" s="432">
        <v>752</v>
      </c>
      <c r="DY40" s="432">
        <v>752</v>
      </c>
      <c r="DZ40" s="432">
        <v>752</v>
      </c>
      <c r="EA40" s="432">
        <v>752</v>
      </c>
      <c r="EB40" s="432">
        <v>752</v>
      </c>
      <c r="EC40" s="432">
        <v>752</v>
      </c>
      <c r="ED40" s="432">
        <v>752</v>
      </c>
      <c r="EE40" s="432">
        <v>752</v>
      </c>
      <c r="EF40" s="432">
        <v>752</v>
      </c>
      <c r="EG40" s="432">
        <v>752</v>
      </c>
      <c r="EH40" s="432">
        <v>752</v>
      </c>
      <c r="EI40" s="432">
        <v>752</v>
      </c>
      <c r="EJ40" s="432">
        <v>752</v>
      </c>
      <c r="EK40" s="432">
        <v>752</v>
      </c>
      <c r="EL40" s="432">
        <v>752</v>
      </c>
      <c r="EM40" s="432">
        <v>752</v>
      </c>
      <c r="EN40" s="432">
        <v>752</v>
      </c>
      <c r="EO40" s="432">
        <v>752</v>
      </c>
      <c r="EP40" s="432">
        <v>752</v>
      </c>
      <c r="EQ40" s="432">
        <v>752</v>
      </c>
      <c r="ER40" s="432">
        <v>752</v>
      </c>
      <c r="ES40" s="432">
        <v>752</v>
      </c>
      <c r="ET40" s="432">
        <v>752</v>
      </c>
      <c r="EU40" s="432">
        <v>752</v>
      </c>
      <c r="EV40" s="432">
        <v>752</v>
      </c>
      <c r="EW40" s="432">
        <v>752</v>
      </c>
      <c r="EX40" s="432">
        <v>752</v>
      </c>
      <c r="EY40" s="432">
        <v>752</v>
      </c>
      <c r="EZ40" s="432">
        <v>752</v>
      </c>
      <c r="FA40" s="432">
        <v>752</v>
      </c>
      <c r="FB40" s="432">
        <v>752</v>
      </c>
      <c r="FC40" s="432">
        <v>752</v>
      </c>
      <c r="FD40" s="432">
        <v>752</v>
      </c>
      <c r="FE40" s="432">
        <v>752</v>
      </c>
      <c r="FF40" s="432">
        <v>752</v>
      </c>
      <c r="FG40" s="432">
        <v>752</v>
      </c>
      <c r="FH40" s="432">
        <v>752</v>
      </c>
      <c r="FI40" s="432">
        <v>752</v>
      </c>
      <c r="FJ40" s="432">
        <v>752</v>
      </c>
      <c r="FK40" s="432">
        <v>752</v>
      </c>
      <c r="FL40" s="432">
        <v>752</v>
      </c>
      <c r="FM40" s="432">
        <v>752</v>
      </c>
      <c r="FN40" s="432">
        <v>752</v>
      </c>
      <c r="FO40" s="432">
        <v>752</v>
      </c>
      <c r="FP40" s="432">
        <v>752</v>
      </c>
      <c r="FQ40" s="432">
        <v>752</v>
      </c>
      <c r="FR40" s="432">
        <v>752</v>
      </c>
      <c r="FS40" s="432">
        <v>752</v>
      </c>
      <c r="FT40" s="432">
        <v>752</v>
      </c>
      <c r="FU40" s="432">
        <v>752</v>
      </c>
      <c r="FV40" s="271">
        <f t="shared" si="28"/>
        <v>752</v>
      </c>
      <c r="FW40" s="312"/>
    </row>
    <row r="41" spans="1:179">
      <c r="A41" s="434"/>
      <c r="B41" s="435" t="s">
        <v>305</v>
      </c>
      <c r="C41" s="436" t="s">
        <v>323</v>
      </c>
      <c r="D41" s="436"/>
      <c r="E41" s="437"/>
      <c r="F41" s="438" t="s">
        <v>324</v>
      </c>
      <c r="G41" s="439">
        <f t="shared" ref="G41:BR41" si="41">G34*CP35+G36*CP36+G37*CP34+G38*CP37+G35*CP38+CP39*G39+G40*CP40</f>
        <v>596656258.48307002</v>
      </c>
      <c r="H41" s="439">
        <f t="shared" si="41"/>
        <v>596656258.48307002</v>
      </c>
      <c r="I41" s="439">
        <f t="shared" si="41"/>
        <v>596656258.48307002</v>
      </c>
      <c r="J41" s="439">
        <f t="shared" si="41"/>
        <v>596658180.75027001</v>
      </c>
      <c r="K41" s="439">
        <f t="shared" si="41"/>
        <v>597103849.24693668</v>
      </c>
      <c r="L41" s="439">
        <f t="shared" si="41"/>
        <v>597104490.00267005</v>
      </c>
      <c r="M41" s="439">
        <f t="shared" si="41"/>
        <v>597104490.00267005</v>
      </c>
      <c r="N41" s="439">
        <f t="shared" si="41"/>
        <v>598356231.16795301</v>
      </c>
      <c r="O41" s="439">
        <f t="shared" si="41"/>
        <v>597105130.75840342</v>
      </c>
      <c r="P41" s="439">
        <f t="shared" si="41"/>
        <v>598358634.00195301</v>
      </c>
      <c r="Q41" s="439">
        <f t="shared" si="41"/>
        <v>599609734.41150451</v>
      </c>
      <c r="R41" s="439">
        <f t="shared" si="41"/>
        <v>600860834.82105601</v>
      </c>
      <c r="S41" s="439">
        <f t="shared" si="41"/>
        <v>602112575.98633885</v>
      </c>
      <c r="T41" s="439">
        <f t="shared" si="41"/>
        <v>603365834.54621768</v>
      </c>
      <c r="U41" s="439">
        <f t="shared" si="41"/>
        <v>604617167.45126557</v>
      </c>
      <c r="V41" s="439">
        <f t="shared" si="41"/>
        <v>605970999.53958595</v>
      </c>
      <c r="W41" s="439">
        <f t="shared" si="41"/>
        <v>607184960.28433883</v>
      </c>
      <c r="X41" s="439">
        <f t="shared" si="41"/>
        <v>608398921.02909005</v>
      </c>
      <c r="Y41" s="439">
        <f t="shared" si="41"/>
        <v>609612881.77384305</v>
      </c>
      <c r="Z41" s="439">
        <f t="shared" si="41"/>
        <v>610826842.51859605</v>
      </c>
      <c r="AA41" s="439">
        <f t="shared" si="41"/>
        <v>612040803.26334727</v>
      </c>
      <c r="AB41" s="439">
        <f t="shared" si="41"/>
        <v>613254764.00810027</v>
      </c>
      <c r="AC41" s="439">
        <f t="shared" si="41"/>
        <v>614468724.75285327</v>
      </c>
      <c r="AD41" s="439">
        <f t="shared" si="41"/>
        <v>615682685.49760449</v>
      </c>
      <c r="AE41" s="439">
        <f t="shared" si="41"/>
        <v>616898338.19890332</v>
      </c>
      <c r="AF41" s="439">
        <f t="shared" si="41"/>
        <v>618110606.98710859</v>
      </c>
      <c r="AG41" s="439">
        <f t="shared" si="41"/>
        <v>619324993.75274801</v>
      </c>
      <c r="AH41" s="439">
        <f t="shared" si="41"/>
        <v>620538528.47661471</v>
      </c>
      <c r="AI41" s="439">
        <f t="shared" si="41"/>
        <v>621752489.22136581</v>
      </c>
      <c r="AJ41" s="439">
        <f t="shared" si="41"/>
        <v>622966449.96611881</v>
      </c>
      <c r="AK41" s="439">
        <f t="shared" si="41"/>
        <v>624180410.71087182</v>
      </c>
      <c r="AL41" s="439">
        <f t="shared" si="41"/>
        <v>625394371.45562291</v>
      </c>
      <c r="AM41" s="439">
        <f t="shared" si="41"/>
        <v>626608332.20037591</v>
      </c>
      <c r="AN41" s="439">
        <f t="shared" si="41"/>
        <v>627822292.94512713</v>
      </c>
      <c r="AO41" s="439">
        <f t="shared" si="41"/>
        <v>629036253.68988013</v>
      </c>
      <c r="AP41" s="439">
        <f t="shared" si="41"/>
        <v>630250214.43463314</v>
      </c>
      <c r="AQ41" s="439">
        <f t="shared" si="41"/>
        <v>631464175.17938435</v>
      </c>
      <c r="AR41" s="439">
        <f t="shared" si="41"/>
        <v>632678135.92413735</v>
      </c>
      <c r="AS41" s="439">
        <f t="shared" si="41"/>
        <v>633892096.66889036</v>
      </c>
      <c r="AT41" s="439">
        <f t="shared" si="41"/>
        <v>496551939.23666668</v>
      </c>
      <c r="AU41" s="440">
        <f t="shared" si="41"/>
        <v>604882051.02700007</v>
      </c>
      <c r="AV41" s="440">
        <f t="shared" si="41"/>
        <v>608097170.28598917</v>
      </c>
      <c r="AW41" s="440">
        <f t="shared" si="41"/>
        <v>587485736.12551749</v>
      </c>
      <c r="AX41" s="440">
        <f t="shared" si="41"/>
        <v>638052680.82726669</v>
      </c>
      <c r="AY41" s="440">
        <f t="shared" si="41"/>
        <v>691431417.57635081</v>
      </c>
      <c r="AZ41" s="440">
        <f t="shared" si="41"/>
        <v>706762765.7755214</v>
      </c>
      <c r="BA41" s="440">
        <f t="shared" si="41"/>
        <v>716527118.24002469</v>
      </c>
      <c r="BB41" s="440">
        <f t="shared" si="41"/>
        <v>705631981.07398736</v>
      </c>
      <c r="BC41" s="440">
        <f t="shared" si="41"/>
        <v>755808823.44955599</v>
      </c>
      <c r="BD41" s="440">
        <f t="shared" si="41"/>
        <v>715504399.1485126</v>
      </c>
      <c r="BE41" s="440">
        <f t="shared" si="41"/>
        <v>673765363.35763848</v>
      </c>
      <c r="BF41" s="440">
        <f t="shared" si="41"/>
        <v>666703442.28401363</v>
      </c>
      <c r="BG41" s="440">
        <f t="shared" si="41"/>
        <v>719040729.77666736</v>
      </c>
      <c r="BH41" s="440">
        <f t="shared" si="41"/>
        <v>646861327.37493384</v>
      </c>
      <c r="BI41" s="440">
        <f t="shared" si="41"/>
        <v>577517344.43789601</v>
      </c>
      <c r="BJ41" s="440">
        <f t="shared" si="41"/>
        <v>565390410.12479997</v>
      </c>
      <c r="BK41" s="440">
        <f t="shared" si="41"/>
        <v>597609095.86546659</v>
      </c>
      <c r="BL41" s="440">
        <f t="shared" si="41"/>
        <v>645645008.51446664</v>
      </c>
      <c r="BM41" s="440">
        <f t="shared" si="41"/>
        <v>596333534.27346671</v>
      </c>
      <c r="BN41" s="440">
        <f t="shared" si="41"/>
        <v>579247851.29653323</v>
      </c>
      <c r="BO41" s="440">
        <f t="shared" si="41"/>
        <v>681599895.16793323</v>
      </c>
      <c r="BP41" s="440">
        <f t="shared" si="41"/>
        <v>670370868.34053338</v>
      </c>
      <c r="BQ41" s="440">
        <f t="shared" si="41"/>
        <v>732009167.05319989</v>
      </c>
      <c r="BR41" s="440">
        <f t="shared" si="41"/>
        <v>634288631.48506665</v>
      </c>
      <c r="BS41" s="440">
        <f t="shared" ref="BS41:CL41" si="42">BS34*FB35+BS36*FB36+BS37*FB34+BS38*FB37+BS35*FB38+FB39*BS39+BS40*FB40</f>
        <v>610125984.50653338</v>
      </c>
      <c r="BT41" s="440">
        <f t="shared" si="42"/>
        <v>453097327.10240006</v>
      </c>
      <c r="BU41" s="440">
        <f t="shared" si="42"/>
        <v>544447263.21253335</v>
      </c>
      <c r="BV41" s="440">
        <f t="shared" si="42"/>
        <v>522098916.09293342</v>
      </c>
      <c r="BW41" s="440">
        <f t="shared" si="42"/>
        <v>395262050.97186667</v>
      </c>
      <c r="BX41" s="440">
        <f t="shared" si="42"/>
        <v>380175571.6512</v>
      </c>
      <c r="BY41" s="440">
        <f t="shared" si="42"/>
        <v>433936282.07346666</v>
      </c>
      <c r="BZ41" s="440">
        <f t="shared" si="42"/>
        <v>498987508.98940003</v>
      </c>
      <c r="CA41" s="440">
        <f t="shared" si="42"/>
        <v>521025798.98646665</v>
      </c>
      <c r="CB41" s="440">
        <f t="shared" si="42"/>
        <v>568085897.86393332</v>
      </c>
      <c r="CC41" s="440">
        <f t="shared" si="42"/>
        <v>609281445.56586671</v>
      </c>
      <c r="CD41" s="440">
        <f t="shared" si="42"/>
        <v>691496767.94159997</v>
      </c>
      <c r="CE41" s="440">
        <f t="shared" si="42"/>
        <v>802986057.22273326</v>
      </c>
      <c r="CF41" s="440">
        <f t="shared" si="42"/>
        <v>718990040.33786666</v>
      </c>
      <c r="CG41" s="440">
        <f t="shared" si="42"/>
        <v>611873073.66586661</v>
      </c>
      <c r="CH41" s="440">
        <f t="shared" si="42"/>
        <v>606309380.19126666</v>
      </c>
      <c r="CI41" s="440">
        <f t="shared" si="42"/>
        <v>655835107.13059986</v>
      </c>
      <c r="CJ41" s="440">
        <f t="shared" si="42"/>
        <v>731702199.28866673</v>
      </c>
      <c r="CK41" s="440">
        <f t="shared" si="42"/>
        <v>834454475.20999992</v>
      </c>
      <c r="CL41" s="441">
        <f t="shared" si="42"/>
        <v>896056456.80306661</v>
      </c>
      <c r="CM41" s="442">
        <f t="shared" si="27"/>
        <v>620952756.64289117</v>
      </c>
      <c r="CN41" s="443" t="s">
        <v>180</v>
      </c>
      <c r="CO41" s="444">
        <f t="shared" ref="CO41:EB41" si="43">0.75*CO36</f>
        <v>27.734853846153825</v>
      </c>
      <c r="CP41" s="444">
        <f t="shared" si="43"/>
        <v>27.734853846153825</v>
      </c>
      <c r="CQ41" s="444">
        <f t="shared" si="43"/>
        <v>27.734853846153825</v>
      </c>
      <c r="CR41" s="444">
        <f t="shared" si="43"/>
        <v>27.734853846153825</v>
      </c>
      <c r="CS41" s="444">
        <f t="shared" si="43"/>
        <v>27.734853846153825</v>
      </c>
      <c r="CT41" s="444">
        <f t="shared" si="43"/>
        <v>27.734853846153825</v>
      </c>
      <c r="CU41" s="444">
        <f t="shared" si="43"/>
        <v>27.734853846153825</v>
      </c>
      <c r="CV41" s="444">
        <f t="shared" si="43"/>
        <v>27.734853846153825</v>
      </c>
      <c r="CW41" s="444">
        <f t="shared" si="43"/>
        <v>28.317217948717946</v>
      </c>
      <c r="CX41" s="444">
        <f t="shared" si="43"/>
        <v>27.734853846153825</v>
      </c>
      <c r="CY41" s="444">
        <f t="shared" si="43"/>
        <v>28.317217948717946</v>
      </c>
      <c r="CZ41" s="444">
        <f t="shared" si="43"/>
        <v>28.899582051282074</v>
      </c>
      <c r="DA41" s="444">
        <f t="shared" si="43"/>
        <v>29.481946153846124</v>
      </c>
      <c r="DB41" s="444">
        <f t="shared" si="43"/>
        <v>30.064310256410252</v>
      </c>
      <c r="DC41" s="444">
        <f t="shared" si="43"/>
        <v>30.646674358974373</v>
      </c>
      <c r="DD41" s="444">
        <f t="shared" si="43"/>
        <v>31.229038461538501</v>
      </c>
      <c r="DE41" s="444">
        <f t="shared" si="43"/>
        <v>31.811402564102551</v>
      </c>
      <c r="DF41" s="444">
        <f t="shared" si="43"/>
        <v>32.393766666666671</v>
      </c>
      <c r="DG41" s="444">
        <f t="shared" si="43"/>
        <v>32.976130769230799</v>
      </c>
      <c r="DH41" s="444">
        <f t="shared" si="43"/>
        <v>33.558494871794849</v>
      </c>
      <c r="DI41" s="444">
        <f t="shared" si="43"/>
        <v>34.140858974358977</v>
      </c>
      <c r="DJ41" s="444">
        <f t="shared" si="43"/>
        <v>34.723223076923098</v>
      </c>
      <c r="DK41" s="444">
        <f t="shared" si="43"/>
        <v>35.305587179487148</v>
      </c>
      <c r="DL41" s="444">
        <f t="shared" si="43"/>
        <v>35.887951282051276</v>
      </c>
      <c r="DM41" s="444">
        <f t="shared" si="43"/>
        <v>36.470315384615397</v>
      </c>
      <c r="DN41" s="444">
        <f t="shared" si="43"/>
        <v>37.052679487179525</v>
      </c>
      <c r="DO41" s="444">
        <f t="shared" si="43"/>
        <v>37.635043589743574</v>
      </c>
      <c r="DP41" s="444">
        <f t="shared" si="43"/>
        <v>38.217407692307702</v>
      </c>
      <c r="DQ41" s="444">
        <f t="shared" si="43"/>
        <v>38.799771794871823</v>
      </c>
      <c r="DR41" s="444">
        <f t="shared" si="43"/>
        <v>39.382135897435873</v>
      </c>
      <c r="DS41" s="444">
        <f t="shared" si="43"/>
        <v>39.964500000000001</v>
      </c>
      <c r="DT41" s="444">
        <f t="shared" si="43"/>
        <v>40.546864102564122</v>
      </c>
      <c r="DU41" s="444">
        <f t="shared" si="43"/>
        <v>41.129228205128179</v>
      </c>
      <c r="DV41" s="444">
        <f t="shared" si="43"/>
        <v>41.7115923076923</v>
      </c>
      <c r="DW41" s="444">
        <f t="shared" si="43"/>
        <v>42.293956410256428</v>
      </c>
      <c r="DX41" s="444">
        <f t="shared" si="43"/>
        <v>42.876320512820548</v>
      </c>
      <c r="DY41" s="444">
        <f t="shared" si="43"/>
        <v>43.458684615384598</v>
      </c>
      <c r="DZ41" s="444">
        <f t="shared" si="43"/>
        <v>44.041048717948726</v>
      </c>
      <c r="EA41" s="444">
        <f t="shared" si="43"/>
        <v>44.623412820512847</v>
      </c>
      <c r="EB41" s="444">
        <f t="shared" si="43"/>
        <v>45.205776923076904</v>
      </c>
      <c r="EC41" s="444">
        <f>0.75*EC36</f>
        <v>42.075000000000003</v>
      </c>
      <c r="ED41" s="444">
        <f t="shared" ref="ED41:FU41" si="44">0.75*ED36</f>
        <v>43.2</v>
      </c>
      <c r="EE41" s="444">
        <f t="shared" si="44"/>
        <v>41.775000000000006</v>
      </c>
      <c r="EF41" s="444">
        <f t="shared" si="44"/>
        <v>44.962500000000006</v>
      </c>
      <c r="EG41" s="444">
        <f t="shared" si="44"/>
        <v>51.427499999999995</v>
      </c>
      <c r="EH41" s="444">
        <f t="shared" si="44"/>
        <v>59.775000000000006</v>
      </c>
      <c r="EI41" s="444">
        <f t="shared" si="44"/>
        <v>63.757500000000007</v>
      </c>
      <c r="EJ41" s="444">
        <f t="shared" si="44"/>
        <v>55.064999999999998</v>
      </c>
      <c r="EK41" s="444">
        <f t="shared" si="44"/>
        <v>51.1875</v>
      </c>
      <c r="EL41" s="444">
        <f t="shared" si="44"/>
        <v>39.9375</v>
      </c>
      <c r="EM41" s="444">
        <f t="shared" si="44"/>
        <v>49.094999999999999</v>
      </c>
      <c r="EN41" s="444">
        <f t="shared" si="44"/>
        <v>45.697499999999998</v>
      </c>
      <c r="EO41" s="444">
        <f t="shared" si="44"/>
        <v>44.775000000000006</v>
      </c>
      <c r="EP41" s="444">
        <f t="shared" si="44"/>
        <v>44.204999999999998</v>
      </c>
      <c r="EQ41" s="444">
        <f t="shared" si="44"/>
        <v>43.462500000000006</v>
      </c>
      <c r="ER41" s="444">
        <f t="shared" si="44"/>
        <v>58.86</v>
      </c>
      <c r="ES41" s="444">
        <f t="shared" si="44"/>
        <v>61.882500000000007</v>
      </c>
      <c r="ET41" s="444">
        <f t="shared" si="44"/>
        <v>62.699999999999996</v>
      </c>
      <c r="EU41" s="444">
        <f t="shared" si="44"/>
        <v>76.612500000000011</v>
      </c>
      <c r="EV41" s="444">
        <f t="shared" si="44"/>
        <v>55.935000000000002</v>
      </c>
      <c r="EW41" s="444">
        <f t="shared" si="44"/>
        <v>58.837500000000006</v>
      </c>
      <c r="EX41" s="444">
        <f t="shared" si="44"/>
        <v>57.652500000000003</v>
      </c>
      <c r="EY41" s="444">
        <f t="shared" si="44"/>
        <v>61.792500000000004</v>
      </c>
      <c r="EZ41" s="444">
        <f t="shared" si="44"/>
        <v>58.41</v>
      </c>
      <c r="FA41" s="444">
        <f t="shared" si="44"/>
        <v>56.542500000000004</v>
      </c>
      <c r="FB41" s="444">
        <f t="shared" si="44"/>
        <v>50.137499999999996</v>
      </c>
      <c r="FC41" s="444">
        <f t="shared" si="44"/>
        <v>48.435000000000002</v>
      </c>
      <c r="FD41" s="444">
        <f t="shared" si="44"/>
        <v>63.727499999999999</v>
      </c>
      <c r="FE41" s="444">
        <f t="shared" si="44"/>
        <v>58.552499999999995</v>
      </c>
      <c r="FF41" s="444">
        <f t="shared" si="44"/>
        <v>53.377499999999998</v>
      </c>
      <c r="FG41" s="444">
        <f t="shared" si="44"/>
        <v>51.172499999999999</v>
      </c>
      <c r="FH41" s="444">
        <f t="shared" si="44"/>
        <v>51.900000000000006</v>
      </c>
      <c r="FI41" s="444">
        <f t="shared" si="44"/>
        <v>53.37</v>
      </c>
      <c r="FJ41" s="444">
        <f t="shared" si="44"/>
        <v>62.175000000000004</v>
      </c>
      <c r="FK41" s="444">
        <f t="shared" si="44"/>
        <v>66.66</v>
      </c>
      <c r="FL41" s="444">
        <f t="shared" si="44"/>
        <v>60.105000000000004</v>
      </c>
      <c r="FM41" s="444">
        <f t="shared" si="44"/>
        <v>67.072500000000005</v>
      </c>
      <c r="FN41" s="444">
        <f t="shared" si="44"/>
        <v>77.085000000000008</v>
      </c>
      <c r="FO41" s="444">
        <f t="shared" si="44"/>
        <v>76.6875</v>
      </c>
      <c r="FP41" s="444">
        <f t="shared" si="44"/>
        <v>75.239999999999995</v>
      </c>
      <c r="FQ41" s="444">
        <f t="shared" si="44"/>
        <v>61.005000000000003</v>
      </c>
      <c r="FR41" s="444">
        <f t="shared" si="44"/>
        <v>68.002499999999998</v>
      </c>
      <c r="FS41" s="444">
        <f t="shared" si="44"/>
        <v>68.894999999999996</v>
      </c>
      <c r="FT41" s="444">
        <f t="shared" si="44"/>
        <v>71.992499999999993</v>
      </c>
      <c r="FU41" s="444">
        <f t="shared" si="44"/>
        <v>71.212500000000006</v>
      </c>
      <c r="FV41" s="445">
        <f t="shared" si="28"/>
        <v>57.476166666666664</v>
      </c>
      <c r="FW41" s="312"/>
    </row>
    <row r="42" spans="1:179">
      <c r="A42" s="1049" t="s">
        <v>325</v>
      </c>
      <c r="B42" s="286" t="s">
        <v>305</v>
      </c>
      <c r="C42" s="356" t="s">
        <v>323</v>
      </c>
      <c r="D42" s="356"/>
      <c r="E42" s="158">
        <v>58.016529232000003</v>
      </c>
      <c r="F42" s="446" t="s">
        <v>326</v>
      </c>
      <c r="G42" s="447">
        <f t="shared" ref="G42:AS42" si="45">$E$42*G16</f>
        <v>6638289.9524115948</v>
      </c>
      <c r="H42" s="447">
        <f t="shared" si="45"/>
        <v>6638289.9524115948</v>
      </c>
      <c r="I42" s="447">
        <f t="shared" si="45"/>
        <v>6638289.9524115948</v>
      </c>
      <c r="J42" s="447">
        <f t="shared" si="45"/>
        <v>6638289.9524115948</v>
      </c>
      <c r="K42" s="447">
        <f t="shared" si="45"/>
        <v>6638289.9524115948</v>
      </c>
      <c r="L42" s="447">
        <f t="shared" si="45"/>
        <v>6638289.9524115948</v>
      </c>
      <c r="M42" s="447">
        <f t="shared" si="45"/>
        <v>6638289.9524115948</v>
      </c>
      <c r="N42" s="447">
        <f t="shared" si="45"/>
        <v>6638289.9524115948</v>
      </c>
      <c r="O42" s="447">
        <f t="shared" si="45"/>
        <v>6638289.9524115948</v>
      </c>
      <c r="P42" s="447">
        <f t="shared" si="45"/>
        <v>6638289.9524115948</v>
      </c>
      <c r="Q42" s="447">
        <f t="shared" si="45"/>
        <v>6638289.9524115948</v>
      </c>
      <c r="R42" s="447">
        <f t="shared" si="45"/>
        <v>6638289.9524115948</v>
      </c>
      <c r="S42" s="447">
        <f t="shared" si="45"/>
        <v>6638289.9524115948</v>
      </c>
      <c r="T42" s="447">
        <f t="shared" si="45"/>
        <v>6638289.9524115948</v>
      </c>
      <c r="U42" s="447">
        <f t="shared" si="45"/>
        <v>6638289.9524115948</v>
      </c>
      <c r="V42" s="447">
        <f t="shared" si="45"/>
        <v>6638289.9524115948</v>
      </c>
      <c r="W42" s="447">
        <f t="shared" si="45"/>
        <v>6638289.9524115948</v>
      </c>
      <c r="X42" s="447">
        <f t="shared" si="45"/>
        <v>6638289.9524115948</v>
      </c>
      <c r="Y42" s="447">
        <f t="shared" si="45"/>
        <v>6638289.9524115948</v>
      </c>
      <c r="Z42" s="447">
        <f t="shared" si="45"/>
        <v>6638289.9524115948</v>
      </c>
      <c r="AA42" s="447">
        <f t="shared" si="45"/>
        <v>6638289.9524115948</v>
      </c>
      <c r="AB42" s="447">
        <f t="shared" si="45"/>
        <v>6638289.9524115948</v>
      </c>
      <c r="AC42" s="447">
        <f t="shared" si="45"/>
        <v>6638289.9524115948</v>
      </c>
      <c r="AD42" s="447">
        <f t="shared" si="45"/>
        <v>6638289.9524115948</v>
      </c>
      <c r="AE42" s="447">
        <f t="shared" si="45"/>
        <v>6638289.9524115948</v>
      </c>
      <c r="AF42" s="447">
        <f t="shared" si="45"/>
        <v>6638289.9524115948</v>
      </c>
      <c r="AG42" s="447">
        <f t="shared" si="45"/>
        <v>6638289.9524115948</v>
      </c>
      <c r="AH42" s="447">
        <f t="shared" si="45"/>
        <v>6638289.9524115948</v>
      </c>
      <c r="AI42" s="447">
        <f t="shared" si="45"/>
        <v>6638289.9524115948</v>
      </c>
      <c r="AJ42" s="447">
        <f t="shared" si="45"/>
        <v>6638289.9524115948</v>
      </c>
      <c r="AK42" s="447">
        <f t="shared" si="45"/>
        <v>6638289.9524115948</v>
      </c>
      <c r="AL42" s="447">
        <f t="shared" si="45"/>
        <v>6638289.9524115948</v>
      </c>
      <c r="AM42" s="447">
        <f t="shared" si="45"/>
        <v>6638289.9524115948</v>
      </c>
      <c r="AN42" s="447">
        <f t="shared" si="45"/>
        <v>6638289.9524115948</v>
      </c>
      <c r="AO42" s="447">
        <f t="shared" si="45"/>
        <v>6638289.9524115948</v>
      </c>
      <c r="AP42" s="447">
        <f t="shared" si="45"/>
        <v>6638289.9524115948</v>
      </c>
      <c r="AQ42" s="447">
        <f t="shared" si="45"/>
        <v>6638289.9524115948</v>
      </c>
      <c r="AR42" s="447">
        <f t="shared" si="45"/>
        <v>6638289.9524115948</v>
      </c>
      <c r="AS42" s="447">
        <f t="shared" si="45"/>
        <v>6638289.9524115948</v>
      </c>
      <c r="AT42" s="447">
        <f>$E$42*AT16</f>
        <v>6638289.9524115948</v>
      </c>
      <c r="AU42" s="448">
        <f t="shared" ref="AU42:CL42" si="46">$E$42*AU16</f>
        <v>6638289.9524115948</v>
      </c>
      <c r="AV42" s="448">
        <f t="shared" si="46"/>
        <v>6638289.9524115948</v>
      </c>
      <c r="AW42" s="448">
        <f t="shared" si="46"/>
        <v>6638289.9524115948</v>
      </c>
      <c r="AX42" s="448">
        <f t="shared" si="46"/>
        <v>6638289.9524115948</v>
      </c>
      <c r="AY42" s="448">
        <f t="shared" si="46"/>
        <v>6638289.9524115948</v>
      </c>
      <c r="AZ42" s="448">
        <f t="shared" si="46"/>
        <v>6638289.9524115948</v>
      </c>
      <c r="BA42" s="448">
        <f t="shared" si="46"/>
        <v>6638289.9524115948</v>
      </c>
      <c r="BB42" s="448">
        <f t="shared" si="46"/>
        <v>6638289.9524115948</v>
      </c>
      <c r="BC42" s="448">
        <f t="shared" si="46"/>
        <v>6638289.9524115948</v>
      </c>
      <c r="BD42" s="448">
        <f t="shared" si="46"/>
        <v>6638289.9524115948</v>
      </c>
      <c r="BE42" s="448">
        <f t="shared" si="46"/>
        <v>6638289.9524115948</v>
      </c>
      <c r="BF42" s="448">
        <f t="shared" si="46"/>
        <v>6638289.9524115948</v>
      </c>
      <c r="BG42" s="448">
        <f t="shared" si="46"/>
        <v>6638289.9524115948</v>
      </c>
      <c r="BH42" s="448">
        <f t="shared" si="46"/>
        <v>6638289.9524115948</v>
      </c>
      <c r="BI42" s="448">
        <f t="shared" si="46"/>
        <v>6638289.9524115948</v>
      </c>
      <c r="BJ42" s="448">
        <f t="shared" si="46"/>
        <v>6638289.9524115948</v>
      </c>
      <c r="BK42" s="448">
        <f t="shared" si="46"/>
        <v>6638289.9524115948</v>
      </c>
      <c r="BL42" s="448">
        <f t="shared" si="46"/>
        <v>6638289.9524115948</v>
      </c>
      <c r="BM42" s="448">
        <f t="shared" si="46"/>
        <v>6638289.9524115948</v>
      </c>
      <c r="BN42" s="448">
        <f t="shared" si="46"/>
        <v>6638289.9524115948</v>
      </c>
      <c r="BO42" s="448">
        <f t="shared" si="46"/>
        <v>6638289.9524115948</v>
      </c>
      <c r="BP42" s="448">
        <f t="shared" si="46"/>
        <v>6638289.9524115948</v>
      </c>
      <c r="BQ42" s="448">
        <f t="shared" si="46"/>
        <v>6638289.9524115948</v>
      </c>
      <c r="BR42" s="448">
        <f t="shared" si="46"/>
        <v>6638289.9524115948</v>
      </c>
      <c r="BS42" s="448">
        <f t="shared" si="46"/>
        <v>6638289.9524115948</v>
      </c>
      <c r="BT42" s="448">
        <f t="shared" si="46"/>
        <v>6638289.9524115948</v>
      </c>
      <c r="BU42" s="448">
        <f t="shared" si="46"/>
        <v>6638289.9524115948</v>
      </c>
      <c r="BV42" s="448">
        <f t="shared" si="46"/>
        <v>6638289.9524115948</v>
      </c>
      <c r="BW42" s="448">
        <f t="shared" si="46"/>
        <v>6638289.9524115948</v>
      </c>
      <c r="BX42" s="448">
        <f t="shared" si="46"/>
        <v>6638289.9524115948</v>
      </c>
      <c r="BY42" s="448">
        <f t="shared" si="46"/>
        <v>6638289.9524115948</v>
      </c>
      <c r="BZ42" s="448">
        <f t="shared" si="46"/>
        <v>6638289.9524115948</v>
      </c>
      <c r="CA42" s="448">
        <f t="shared" si="46"/>
        <v>6638289.9524115948</v>
      </c>
      <c r="CB42" s="448">
        <f t="shared" si="46"/>
        <v>6638289.9524115948</v>
      </c>
      <c r="CC42" s="448">
        <f t="shared" si="46"/>
        <v>6638289.9524115948</v>
      </c>
      <c r="CD42" s="448">
        <f t="shared" si="46"/>
        <v>6638289.9524115948</v>
      </c>
      <c r="CE42" s="448">
        <f t="shared" si="46"/>
        <v>6638289.9524115948</v>
      </c>
      <c r="CF42" s="448">
        <f t="shared" si="46"/>
        <v>6638289.9524115948</v>
      </c>
      <c r="CG42" s="448">
        <f t="shared" si="46"/>
        <v>6638289.9524115948</v>
      </c>
      <c r="CH42" s="448">
        <f t="shared" si="46"/>
        <v>6638289.9524115948</v>
      </c>
      <c r="CI42" s="448">
        <f t="shared" si="46"/>
        <v>6638289.9524115948</v>
      </c>
      <c r="CJ42" s="448">
        <f t="shared" si="46"/>
        <v>6638289.9524115948</v>
      </c>
      <c r="CK42" s="448">
        <f t="shared" si="46"/>
        <v>6638289.9524115948</v>
      </c>
      <c r="CL42" s="448">
        <f t="shared" si="46"/>
        <v>6638289.9524115948</v>
      </c>
      <c r="CM42" s="319">
        <f t="shared" si="27"/>
        <v>6638289.9524115948</v>
      </c>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313"/>
    </row>
    <row r="43" spans="1:179">
      <c r="A43" s="1050"/>
      <c r="B43" s="224" t="s">
        <v>305</v>
      </c>
      <c r="C43" s="367" t="s">
        <v>323</v>
      </c>
      <c r="D43" s="362"/>
      <c r="E43" s="75">
        <v>113.95</v>
      </c>
      <c r="F43" s="413" t="s">
        <v>327</v>
      </c>
      <c r="G43" s="449">
        <f t="shared" ref="G43:AS43" si="47">$E$43*G16</f>
        <v>13038234.966666667</v>
      </c>
      <c r="H43" s="449">
        <f t="shared" si="47"/>
        <v>13038234.966666667</v>
      </c>
      <c r="I43" s="449">
        <f t="shared" si="47"/>
        <v>13038234.966666667</v>
      </c>
      <c r="J43" s="449">
        <f t="shared" si="47"/>
        <v>13038234.966666667</v>
      </c>
      <c r="K43" s="449">
        <f t="shared" si="47"/>
        <v>13038234.966666667</v>
      </c>
      <c r="L43" s="449">
        <f t="shared" si="47"/>
        <v>13038234.966666667</v>
      </c>
      <c r="M43" s="449">
        <f t="shared" si="47"/>
        <v>13038234.966666667</v>
      </c>
      <c r="N43" s="449">
        <f t="shared" si="47"/>
        <v>13038234.966666667</v>
      </c>
      <c r="O43" s="449">
        <f t="shared" si="47"/>
        <v>13038234.966666667</v>
      </c>
      <c r="P43" s="449">
        <f t="shared" si="47"/>
        <v>13038234.966666667</v>
      </c>
      <c r="Q43" s="449">
        <f t="shared" si="47"/>
        <v>13038234.966666667</v>
      </c>
      <c r="R43" s="449">
        <f t="shared" si="47"/>
        <v>13038234.966666667</v>
      </c>
      <c r="S43" s="449">
        <f t="shared" si="47"/>
        <v>13038234.966666667</v>
      </c>
      <c r="T43" s="449">
        <f t="shared" si="47"/>
        <v>13038234.966666667</v>
      </c>
      <c r="U43" s="449">
        <f t="shared" si="47"/>
        <v>13038234.966666667</v>
      </c>
      <c r="V43" s="449">
        <f t="shared" si="47"/>
        <v>13038234.966666667</v>
      </c>
      <c r="W43" s="449">
        <f t="shared" si="47"/>
        <v>13038234.966666667</v>
      </c>
      <c r="X43" s="449">
        <f t="shared" si="47"/>
        <v>13038234.966666667</v>
      </c>
      <c r="Y43" s="449">
        <f t="shared" si="47"/>
        <v>13038234.966666667</v>
      </c>
      <c r="Z43" s="449">
        <f t="shared" si="47"/>
        <v>13038234.966666667</v>
      </c>
      <c r="AA43" s="449">
        <f t="shared" si="47"/>
        <v>13038234.966666667</v>
      </c>
      <c r="AB43" s="449">
        <f t="shared" si="47"/>
        <v>13038234.966666667</v>
      </c>
      <c r="AC43" s="449">
        <f t="shared" si="47"/>
        <v>13038234.966666667</v>
      </c>
      <c r="AD43" s="449">
        <f t="shared" si="47"/>
        <v>13038234.966666667</v>
      </c>
      <c r="AE43" s="449">
        <f t="shared" si="47"/>
        <v>13038234.966666667</v>
      </c>
      <c r="AF43" s="449">
        <f t="shared" si="47"/>
        <v>13038234.966666667</v>
      </c>
      <c r="AG43" s="449">
        <f t="shared" si="47"/>
        <v>13038234.966666667</v>
      </c>
      <c r="AH43" s="449">
        <f t="shared" si="47"/>
        <v>13038234.966666667</v>
      </c>
      <c r="AI43" s="449">
        <f t="shared" si="47"/>
        <v>13038234.966666667</v>
      </c>
      <c r="AJ43" s="449">
        <f t="shared" si="47"/>
        <v>13038234.966666667</v>
      </c>
      <c r="AK43" s="449">
        <f t="shared" si="47"/>
        <v>13038234.966666667</v>
      </c>
      <c r="AL43" s="449">
        <f t="shared" si="47"/>
        <v>13038234.966666667</v>
      </c>
      <c r="AM43" s="449">
        <f t="shared" si="47"/>
        <v>13038234.966666667</v>
      </c>
      <c r="AN43" s="449">
        <f t="shared" si="47"/>
        <v>13038234.966666667</v>
      </c>
      <c r="AO43" s="449">
        <f t="shared" si="47"/>
        <v>13038234.966666667</v>
      </c>
      <c r="AP43" s="449">
        <f t="shared" si="47"/>
        <v>13038234.966666667</v>
      </c>
      <c r="AQ43" s="449">
        <f t="shared" si="47"/>
        <v>13038234.966666667</v>
      </c>
      <c r="AR43" s="449">
        <f t="shared" si="47"/>
        <v>13038234.966666667</v>
      </c>
      <c r="AS43" s="449">
        <f t="shared" si="47"/>
        <v>13038234.966666667</v>
      </c>
      <c r="AT43" s="449">
        <f>$E$43*AT16</f>
        <v>13038234.966666667</v>
      </c>
      <c r="AU43" s="450">
        <f t="shared" ref="AU43:CL43" si="48">$E$43*AU16</f>
        <v>13038234.966666667</v>
      </c>
      <c r="AV43" s="450">
        <f t="shared" si="48"/>
        <v>13038234.966666667</v>
      </c>
      <c r="AW43" s="450">
        <f t="shared" si="48"/>
        <v>13038234.966666667</v>
      </c>
      <c r="AX43" s="450">
        <f t="shared" si="48"/>
        <v>13038234.966666667</v>
      </c>
      <c r="AY43" s="450">
        <f t="shared" si="48"/>
        <v>13038234.966666667</v>
      </c>
      <c r="AZ43" s="450">
        <f t="shared" si="48"/>
        <v>13038234.966666667</v>
      </c>
      <c r="BA43" s="450">
        <f t="shared" si="48"/>
        <v>13038234.966666667</v>
      </c>
      <c r="BB43" s="450">
        <f t="shared" si="48"/>
        <v>13038234.966666667</v>
      </c>
      <c r="BC43" s="450">
        <f t="shared" si="48"/>
        <v>13038234.966666667</v>
      </c>
      <c r="BD43" s="450">
        <f t="shared" si="48"/>
        <v>13038234.966666667</v>
      </c>
      <c r="BE43" s="450">
        <f t="shared" si="48"/>
        <v>13038234.966666667</v>
      </c>
      <c r="BF43" s="450">
        <f t="shared" si="48"/>
        <v>13038234.966666667</v>
      </c>
      <c r="BG43" s="450">
        <f t="shared" si="48"/>
        <v>13038234.966666667</v>
      </c>
      <c r="BH43" s="450">
        <f t="shared" si="48"/>
        <v>13038234.966666667</v>
      </c>
      <c r="BI43" s="450">
        <f t="shared" si="48"/>
        <v>13038234.966666667</v>
      </c>
      <c r="BJ43" s="450">
        <f t="shared" si="48"/>
        <v>13038234.966666667</v>
      </c>
      <c r="BK43" s="450">
        <f t="shared" si="48"/>
        <v>13038234.966666667</v>
      </c>
      <c r="BL43" s="450">
        <f t="shared" si="48"/>
        <v>13038234.966666667</v>
      </c>
      <c r="BM43" s="450">
        <f t="shared" si="48"/>
        <v>13038234.966666667</v>
      </c>
      <c r="BN43" s="450">
        <f t="shared" si="48"/>
        <v>13038234.966666667</v>
      </c>
      <c r="BO43" s="450">
        <f t="shared" si="48"/>
        <v>13038234.966666667</v>
      </c>
      <c r="BP43" s="450">
        <f t="shared" si="48"/>
        <v>13038234.966666667</v>
      </c>
      <c r="BQ43" s="450">
        <f t="shared" si="48"/>
        <v>13038234.966666667</v>
      </c>
      <c r="BR43" s="450">
        <f t="shared" si="48"/>
        <v>13038234.966666667</v>
      </c>
      <c r="BS43" s="450">
        <f t="shared" si="48"/>
        <v>13038234.966666667</v>
      </c>
      <c r="BT43" s="450">
        <f t="shared" si="48"/>
        <v>13038234.966666667</v>
      </c>
      <c r="BU43" s="450">
        <f t="shared" si="48"/>
        <v>13038234.966666667</v>
      </c>
      <c r="BV43" s="450">
        <f t="shared" si="48"/>
        <v>13038234.966666667</v>
      </c>
      <c r="BW43" s="450">
        <f t="shared" si="48"/>
        <v>13038234.966666667</v>
      </c>
      <c r="BX43" s="450">
        <f t="shared" si="48"/>
        <v>13038234.966666667</v>
      </c>
      <c r="BY43" s="450">
        <f t="shared" si="48"/>
        <v>13038234.966666667</v>
      </c>
      <c r="BZ43" s="450">
        <f t="shared" si="48"/>
        <v>13038234.966666667</v>
      </c>
      <c r="CA43" s="450">
        <f t="shared" si="48"/>
        <v>13038234.966666667</v>
      </c>
      <c r="CB43" s="450">
        <f t="shared" si="48"/>
        <v>13038234.966666667</v>
      </c>
      <c r="CC43" s="450">
        <f t="shared" si="48"/>
        <v>13038234.966666667</v>
      </c>
      <c r="CD43" s="450">
        <f t="shared" si="48"/>
        <v>13038234.966666667</v>
      </c>
      <c r="CE43" s="450">
        <f t="shared" si="48"/>
        <v>13038234.966666667</v>
      </c>
      <c r="CF43" s="450">
        <f t="shared" si="48"/>
        <v>13038234.966666667</v>
      </c>
      <c r="CG43" s="450">
        <f t="shared" si="48"/>
        <v>13038234.966666667</v>
      </c>
      <c r="CH43" s="450">
        <f t="shared" si="48"/>
        <v>13038234.966666667</v>
      </c>
      <c r="CI43" s="450">
        <f t="shared" si="48"/>
        <v>13038234.966666667</v>
      </c>
      <c r="CJ43" s="450">
        <f t="shared" si="48"/>
        <v>13038234.966666667</v>
      </c>
      <c r="CK43" s="450">
        <f t="shared" si="48"/>
        <v>13038234.966666667</v>
      </c>
      <c r="CL43" s="450">
        <f t="shared" si="48"/>
        <v>13038234.966666667</v>
      </c>
      <c r="CM43" s="319">
        <f t="shared" si="27"/>
        <v>13038234.966666676</v>
      </c>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row>
    <row r="44" spans="1:179" ht="17.25" customHeight="1">
      <c r="A44" s="451" t="s">
        <v>31</v>
      </c>
      <c r="B44" s="452" t="s">
        <v>305</v>
      </c>
      <c r="C44" s="451" t="s">
        <v>323</v>
      </c>
      <c r="D44" s="451"/>
      <c r="E44" s="453">
        <v>7924</v>
      </c>
      <c r="F44" s="454" t="s">
        <v>328</v>
      </c>
      <c r="G44" s="455">
        <f>$E$44*G16</f>
        <v>906669362.66666663</v>
      </c>
      <c r="H44" s="455">
        <f t="shared" ref="H44:BS44" si="49">$E$44*H16</f>
        <v>906669362.66666663</v>
      </c>
      <c r="I44" s="455">
        <f t="shared" si="49"/>
        <v>906669362.66666663</v>
      </c>
      <c r="J44" s="455">
        <f t="shared" si="49"/>
        <v>906669362.66666663</v>
      </c>
      <c r="K44" s="455">
        <f t="shared" si="49"/>
        <v>906669362.66666663</v>
      </c>
      <c r="L44" s="455">
        <f t="shared" si="49"/>
        <v>906669362.66666663</v>
      </c>
      <c r="M44" s="455">
        <f t="shared" si="49"/>
        <v>906669362.66666663</v>
      </c>
      <c r="N44" s="455">
        <f t="shared" si="49"/>
        <v>906669362.66666663</v>
      </c>
      <c r="O44" s="455">
        <f t="shared" si="49"/>
        <v>906669362.66666663</v>
      </c>
      <c r="P44" s="455">
        <f t="shared" si="49"/>
        <v>906669362.66666663</v>
      </c>
      <c r="Q44" s="455">
        <f t="shared" si="49"/>
        <v>906669362.66666663</v>
      </c>
      <c r="R44" s="455">
        <f t="shared" si="49"/>
        <v>906669362.66666663</v>
      </c>
      <c r="S44" s="455">
        <f t="shared" si="49"/>
        <v>906669362.66666663</v>
      </c>
      <c r="T44" s="455">
        <f t="shared" si="49"/>
        <v>906669362.66666663</v>
      </c>
      <c r="U44" s="455">
        <f t="shared" si="49"/>
        <v>906669362.66666663</v>
      </c>
      <c r="V44" s="455">
        <f t="shared" si="49"/>
        <v>906669362.66666663</v>
      </c>
      <c r="W44" s="455">
        <f t="shared" si="49"/>
        <v>906669362.66666663</v>
      </c>
      <c r="X44" s="455">
        <f t="shared" si="49"/>
        <v>906669362.66666663</v>
      </c>
      <c r="Y44" s="455">
        <f t="shared" si="49"/>
        <v>906669362.66666663</v>
      </c>
      <c r="Z44" s="455">
        <f t="shared" si="49"/>
        <v>906669362.66666663</v>
      </c>
      <c r="AA44" s="455">
        <f t="shared" si="49"/>
        <v>906669362.66666663</v>
      </c>
      <c r="AB44" s="455">
        <f t="shared" si="49"/>
        <v>906669362.66666663</v>
      </c>
      <c r="AC44" s="455">
        <f t="shared" si="49"/>
        <v>906669362.66666663</v>
      </c>
      <c r="AD44" s="455">
        <f t="shared" si="49"/>
        <v>906669362.66666663</v>
      </c>
      <c r="AE44" s="455">
        <f t="shared" si="49"/>
        <v>906669362.66666663</v>
      </c>
      <c r="AF44" s="455">
        <f t="shared" si="49"/>
        <v>906669362.66666663</v>
      </c>
      <c r="AG44" s="455">
        <f t="shared" si="49"/>
        <v>906669362.66666663</v>
      </c>
      <c r="AH44" s="455">
        <f t="shared" si="49"/>
        <v>906669362.66666663</v>
      </c>
      <c r="AI44" s="455">
        <f t="shared" si="49"/>
        <v>906669362.66666663</v>
      </c>
      <c r="AJ44" s="455">
        <f t="shared" si="49"/>
        <v>906669362.66666663</v>
      </c>
      <c r="AK44" s="455">
        <f t="shared" si="49"/>
        <v>906669362.66666663</v>
      </c>
      <c r="AL44" s="455">
        <f t="shared" si="49"/>
        <v>906669362.66666663</v>
      </c>
      <c r="AM44" s="455">
        <f t="shared" si="49"/>
        <v>906669362.66666663</v>
      </c>
      <c r="AN44" s="455">
        <f t="shared" si="49"/>
        <v>906669362.66666663</v>
      </c>
      <c r="AO44" s="455">
        <f t="shared" si="49"/>
        <v>906669362.66666663</v>
      </c>
      <c r="AP44" s="455">
        <f t="shared" si="49"/>
        <v>906669362.66666663</v>
      </c>
      <c r="AQ44" s="455">
        <f t="shared" si="49"/>
        <v>906669362.66666663</v>
      </c>
      <c r="AR44" s="455">
        <f t="shared" si="49"/>
        <v>906669362.66666663</v>
      </c>
      <c r="AS44" s="455">
        <f t="shared" si="49"/>
        <v>906669362.66666663</v>
      </c>
      <c r="AT44" s="455">
        <f t="shared" si="49"/>
        <v>906669362.66666663</v>
      </c>
      <c r="AU44" s="455">
        <f t="shared" si="49"/>
        <v>906669362.66666663</v>
      </c>
      <c r="AV44" s="455">
        <f t="shared" si="49"/>
        <v>906669362.66666663</v>
      </c>
      <c r="AW44" s="455">
        <f t="shared" si="49"/>
        <v>906669362.66666663</v>
      </c>
      <c r="AX44" s="455">
        <f t="shared" si="49"/>
        <v>906669362.66666663</v>
      </c>
      <c r="AY44" s="455">
        <f t="shared" si="49"/>
        <v>906669362.66666663</v>
      </c>
      <c r="AZ44" s="455">
        <f t="shared" si="49"/>
        <v>906669362.66666663</v>
      </c>
      <c r="BA44" s="455">
        <f t="shared" si="49"/>
        <v>906669362.66666663</v>
      </c>
      <c r="BB44" s="455">
        <f t="shared" si="49"/>
        <v>906669362.66666663</v>
      </c>
      <c r="BC44" s="455">
        <f t="shared" si="49"/>
        <v>906669362.66666663</v>
      </c>
      <c r="BD44" s="455">
        <f t="shared" si="49"/>
        <v>906669362.66666663</v>
      </c>
      <c r="BE44" s="455">
        <f t="shared" si="49"/>
        <v>906669362.66666663</v>
      </c>
      <c r="BF44" s="455">
        <f t="shared" si="49"/>
        <v>906669362.66666663</v>
      </c>
      <c r="BG44" s="455">
        <f t="shared" si="49"/>
        <v>906669362.66666663</v>
      </c>
      <c r="BH44" s="455">
        <f t="shared" si="49"/>
        <v>906669362.66666663</v>
      </c>
      <c r="BI44" s="455">
        <f t="shared" si="49"/>
        <v>906669362.66666663</v>
      </c>
      <c r="BJ44" s="455">
        <f t="shared" si="49"/>
        <v>906669362.66666663</v>
      </c>
      <c r="BK44" s="455">
        <f t="shared" si="49"/>
        <v>906669362.66666663</v>
      </c>
      <c r="BL44" s="455">
        <f t="shared" si="49"/>
        <v>906669362.66666663</v>
      </c>
      <c r="BM44" s="455">
        <f t="shared" si="49"/>
        <v>906669362.66666663</v>
      </c>
      <c r="BN44" s="455">
        <f t="shared" si="49"/>
        <v>906669362.66666663</v>
      </c>
      <c r="BO44" s="455">
        <f t="shared" si="49"/>
        <v>906669362.66666663</v>
      </c>
      <c r="BP44" s="455">
        <f t="shared" si="49"/>
        <v>906669362.66666663</v>
      </c>
      <c r="BQ44" s="455">
        <f t="shared" si="49"/>
        <v>906669362.66666663</v>
      </c>
      <c r="BR44" s="455">
        <f t="shared" si="49"/>
        <v>906669362.66666663</v>
      </c>
      <c r="BS44" s="455">
        <f t="shared" si="49"/>
        <v>906669362.66666663</v>
      </c>
      <c r="BT44" s="455">
        <f t="shared" ref="BT44:CL44" si="50">$E$44*BT16</f>
        <v>906669362.66666663</v>
      </c>
      <c r="BU44" s="455">
        <f t="shared" si="50"/>
        <v>906669362.66666663</v>
      </c>
      <c r="BV44" s="455">
        <f t="shared" si="50"/>
        <v>906669362.66666663</v>
      </c>
      <c r="BW44" s="455">
        <f t="shared" si="50"/>
        <v>906669362.66666663</v>
      </c>
      <c r="BX44" s="455">
        <f t="shared" si="50"/>
        <v>906669362.66666663</v>
      </c>
      <c r="BY44" s="455">
        <f t="shared" si="50"/>
        <v>906669362.66666663</v>
      </c>
      <c r="BZ44" s="455">
        <f t="shared" si="50"/>
        <v>906669362.66666663</v>
      </c>
      <c r="CA44" s="455">
        <f t="shared" si="50"/>
        <v>906669362.66666663</v>
      </c>
      <c r="CB44" s="455">
        <f t="shared" si="50"/>
        <v>906669362.66666663</v>
      </c>
      <c r="CC44" s="455">
        <f t="shared" si="50"/>
        <v>906669362.66666663</v>
      </c>
      <c r="CD44" s="455">
        <f t="shared" si="50"/>
        <v>906669362.66666663</v>
      </c>
      <c r="CE44" s="455">
        <f t="shared" si="50"/>
        <v>906669362.66666663</v>
      </c>
      <c r="CF44" s="455">
        <f t="shared" si="50"/>
        <v>906669362.66666663</v>
      </c>
      <c r="CG44" s="455">
        <f t="shared" si="50"/>
        <v>906669362.66666663</v>
      </c>
      <c r="CH44" s="455">
        <f t="shared" si="50"/>
        <v>906669362.66666663</v>
      </c>
      <c r="CI44" s="455">
        <f t="shared" si="50"/>
        <v>906669362.66666663</v>
      </c>
      <c r="CJ44" s="455">
        <f t="shared" si="50"/>
        <v>906669362.66666663</v>
      </c>
      <c r="CK44" s="455">
        <f t="shared" si="50"/>
        <v>906669362.66666663</v>
      </c>
      <c r="CL44" s="455">
        <f t="shared" si="50"/>
        <v>906669362.66666663</v>
      </c>
      <c r="CM44" s="455">
        <f t="shared" si="27"/>
        <v>906669362.66666627</v>
      </c>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row>
    <row r="45" spans="1:179" s="314" customFormat="1" ht="20.25" customHeight="1">
      <c r="A45" s="457" t="s">
        <v>238</v>
      </c>
      <c r="B45" s="53" t="s">
        <v>305</v>
      </c>
      <c r="C45" s="457" t="s">
        <v>323</v>
      </c>
      <c r="D45" s="457"/>
      <c r="E45" s="57">
        <v>3131</v>
      </c>
      <c r="F45" s="368" t="s">
        <v>326</v>
      </c>
      <c r="G45" s="455">
        <f>$E$45*G16</f>
        <v>358251107.33333331</v>
      </c>
      <c r="H45" s="455">
        <f t="shared" ref="H45:BS45" si="51">$E$45*H16</f>
        <v>358251107.33333331</v>
      </c>
      <c r="I45" s="455">
        <f t="shared" si="51"/>
        <v>358251107.33333331</v>
      </c>
      <c r="J45" s="455">
        <f t="shared" si="51"/>
        <v>358251107.33333331</v>
      </c>
      <c r="K45" s="455">
        <f t="shared" si="51"/>
        <v>358251107.33333331</v>
      </c>
      <c r="L45" s="455">
        <f t="shared" si="51"/>
        <v>358251107.33333331</v>
      </c>
      <c r="M45" s="455">
        <f t="shared" si="51"/>
        <v>358251107.33333331</v>
      </c>
      <c r="N45" s="455">
        <f t="shared" si="51"/>
        <v>358251107.33333331</v>
      </c>
      <c r="O45" s="455">
        <f t="shared" si="51"/>
        <v>358251107.33333331</v>
      </c>
      <c r="P45" s="455">
        <f t="shared" si="51"/>
        <v>358251107.33333331</v>
      </c>
      <c r="Q45" s="455">
        <f t="shared" si="51"/>
        <v>358251107.33333331</v>
      </c>
      <c r="R45" s="455">
        <f t="shared" si="51"/>
        <v>358251107.33333331</v>
      </c>
      <c r="S45" s="455">
        <f t="shared" si="51"/>
        <v>358251107.33333331</v>
      </c>
      <c r="T45" s="455">
        <f t="shared" si="51"/>
        <v>358251107.33333331</v>
      </c>
      <c r="U45" s="455">
        <f t="shared" si="51"/>
        <v>358251107.33333331</v>
      </c>
      <c r="V45" s="455">
        <f t="shared" si="51"/>
        <v>358251107.33333331</v>
      </c>
      <c r="W45" s="455">
        <f t="shared" si="51"/>
        <v>358251107.33333331</v>
      </c>
      <c r="X45" s="455">
        <f t="shared" si="51"/>
        <v>358251107.33333331</v>
      </c>
      <c r="Y45" s="455">
        <f t="shared" si="51"/>
        <v>358251107.33333331</v>
      </c>
      <c r="Z45" s="455">
        <f t="shared" si="51"/>
        <v>358251107.33333331</v>
      </c>
      <c r="AA45" s="455">
        <f t="shared" si="51"/>
        <v>358251107.33333331</v>
      </c>
      <c r="AB45" s="455">
        <f t="shared" si="51"/>
        <v>358251107.33333331</v>
      </c>
      <c r="AC45" s="455">
        <f t="shared" si="51"/>
        <v>358251107.33333331</v>
      </c>
      <c r="AD45" s="455">
        <f t="shared" si="51"/>
        <v>358251107.33333331</v>
      </c>
      <c r="AE45" s="455">
        <f t="shared" si="51"/>
        <v>358251107.33333331</v>
      </c>
      <c r="AF45" s="455">
        <f t="shared" si="51"/>
        <v>358251107.33333331</v>
      </c>
      <c r="AG45" s="455">
        <f t="shared" si="51"/>
        <v>358251107.33333331</v>
      </c>
      <c r="AH45" s="455">
        <f t="shared" si="51"/>
        <v>358251107.33333331</v>
      </c>
      <c r="AI45" s="455">
        <f t="shared" si="51"/>
        <v>358251107.33333331</v>
      </c>
      <c r="AJ45" s="455">
        <f t="shared" si="51"/>
        <v>358251107.33333331</v>
      </c>
      <c r="AK45" s="455">
        <f t="shared" si="51"/>
        <v>358251107.33333331</v>
      </c>
      <c r="AL45" s="455">
        <f t="shared" si="51"/>
        <v>358251107.33333331</v>
      </c>
      <c r="AM45" s="455">
        <f t="shared" si="51"/>
        <v>358251107.33333331</v>
      </c>
      <c r="AN45" s="455">
        <f t="shared" si="51"/>
        <v>358251107.33333331</v>
      </c>
      <c r="AO45" s="455">
        <f t="shared" si="51"/>
        <v>358251107.33333331</v>
      </c>
      <c r="AP45" s="455">
        <f t="shared" si="51"/>
        <v>358251107.33333331</v>
      </c>
      <c r="AQ45" s="455">
        <f t="shared" si="51"/>
        <v>358251107.33333331</v>
      </c>
      <c r="AR45" s="455">
        <f t="shared" si="51"/>
        <v>358251107.33333331</v>
      </c>
      <c r="AS45" s="455">
        <f t="shared" si="51"/>
        <v>358251107.33333331</v>
      </c>
      <c r="AT45" s="455">
        <f t="shared" si="51"/>
        <v>358251107.33333331</v>
      </c>
      <c r="AU45" s="455">
        <f t="shared" si="51"/>
        <v>358251107.33333331</v>
      </c>
      <c r="AV45" s="455">
        <f t="shared" si="51"/>
        <v>358251107.33333331</v>
      </c>
      <c r="AW45" s="455">
        <f t="shared" si="51"/>
        <v>358251107.33333331</v>
      </c>
      <c r="AX45" s="455">
        <f t="shared" si="51"/>
        <v>358251107.33333331</v>
      </c>
      <c r="AY45" s="455">
        <f t="shared" si="51"/>
        <v>358251107.33333331</v>
      </c>
      <c r="AZ45" s="455">
        <f t="shared" si="51"/>
        <v>358251107.33333331</v>
      </c>
      <c r="BA45" s="455">
        <f t="shared" si="51"/>
        <v>358251107.33333331</v>
      </c>
      <c r="BB45" s="455">
        <f t="shared" si="51"/>
        <v>358251107.33333331</v>
      </c>
      <c r="BC45" s="455">
        <f t="shared" si="51"/>
        <v>358251107.33333331</v>
      </c>
      <c r="BD45" s="455">
        <f t="shared" si="51"/>
        <v>358251107.33333331</v>
      </c>
      <c r="BE45" s="455">
        <f t="shared" si="51"/>
        <v>358251107.33333331</v>
      </c>
      <c r="BF45" s="455">
        <f t="shared" si="51"/>
        <v>358251107.33333331</v>
      </c>
      <c r="BG45" s="455">
        <f t="shared" si="51"/>
        <v>358251107.33333331</v>
      </c>
      <c r="BH45" s="455">
        <f t="shared" si="51"/>
        <v>358251107.33333331</v>
      </c>
      <c r="BI45" s="455">
        <f t="shared" si="51"/>
        <v>358251107.33333331</v>
      </c>
      <c r="BJ45" s="455">
        <f t="shared" si="51"/>
        <v>358251107.33333331</v>
      </c>
      <c r="BK45" s="455">
        <f t="shared" si="51"/>
        <v>358251107.33333331</v>
      </c>
      <c r="BL45" s="455">
        <f t="shared" si="51"/>
        <v>358251107.33333331</v>
      </c>
      <c r="BM45" s="455">
        <f t="shared" si="51"/>
        <v>358251107.33333331</v>
      </c>
      <c r="BN45" s="455">
        <f t="shared" si="51"/>
        <v>358251107.33333331</v>
      </c>
      <c r="BO45" s="455">
        <f t="shared" si="51"/>
        <v>358251107.33333331</v>
      </c>
      <c r="BP45" s="455">
        <f t="shared" si="51"/>
        <v>358251107.33333331</v>
      </c>
      <c r="BQ45" s="455">
        <f t="shared" si="51"/>
        <v>358251107.33333331</v>
      </c>
      <c r="BR45" s="455">
        <f t="shared" si="51"/>
        <v>358251107.33333331</v>
      </c>
      <c r="BS45" s="455">
        <f t="shared" si="51"/>
        <v>358251107.33333331</v>
      </c>
      <c r="BT45" s="455">
        <f t="shared" ref="BT45:CL45" si="52">$E$45*BT16</f>
        <v>358251107.33333331</v>
      </c>
      <c r="BU45" s="455">
        <f t="shared" si="52"/>
        <v>358251107.33333331</v>
      </c>
      <c r="BV45" s="455">
        <f t="shared" si="52"/>
        <v>358251107.33333331</v>
      </c>
      <c r="BW45" s="455">
        <f t="shared" si="52"/>
        <v>358251107.33333331</v>
      </c>
      <c r="BX45" s="455">
        <f t="shared" si="52"/>
        <v>358251107.33333331</v>
      </c>
      <c r="BY45" s="455">
        <f t="shared" si="52"/>
        <v>358251107.33333331</v>
      </c>
      <c r="BZ45" s="455">
        <f t="shared" si="52"/>
        <v>358251107.33333331</v>
      </c>
      <c r="CA45" s="455">
        <f t="shared" si="52"/>
        <v>358251107.33333331</v>
      </c>
      <c r="CB45" s="455">
        <f t="shared" si="52"/>
        <v>358251107.33333331</v>
      </c>
      <c r="CC45" s="455">
        <f t="shared" si="52"/>
        <v>358251107.33333331</v>
      </c>
      <c r="CD45" s="455">
        <f t="shared" si="52"/>
        <v>358251107.33333331</v>
      </c>
      <c r="CE45" s="455">
        <f t="shared" si="52"/>
        <v>358251107.33333331</v>
      </c>
      <c r="CF45" s="455">
        <f t="shared" si="52"/>
        <v>358251107.33333331</v>
      </c>
      <c r="CG45" s="455">
        <f t="shared" si="52"/>
        <v>358251107.33333331</v>
      </c>
      <c r="CH45" s="455">
        <f t="shared" si="52"/>
        <v>358251107.33333331</v>
      </c>
      <c r="CI45" s="455">
        <f t="shared" si="52"/>
        <v>358251107.33333331</v>
      </c>
      <c r="CJ45" s="455">
        <f t="shared" si="52"/>
        <v>358251107.33333331</v>
      </c>
      <c r="CK45" s="455">
        <f t="shared" si="52"/>
        <v>358251107.33333331</v>
      </c>
      <c r="CL45" s="455">
        <f t="shared" si="52"/>
        <v>358251107.33333331</v>
      </c>
      <c r="CM45" s="455">
        <f t="shared" si="27"/>
        <v>358251107.3333329</v>
      </c>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row>
    <row r="46" spans="1:179" s="314" customFormat="1">
      <c r="A46" s="460" t="s">
        <v>329</v>
      </c>
      <c r="B46" s="180" t="s">
        <v>309</v>
      </c>
      <c r="C46" s="460" t="s">
        <v>323</v>
      </c>
      <c r="D46" s="460"/>
      <c r="E46" s="461"/>
      <c r="F46" s="375" t="s">
        <v>148</v>
      </c>
      <c r="G46" s="462">
        <f t="shared" ref="G46:BR47" si="53">G12*G2</f>
        <v>2387948199.7117939</v>
      </c>
      <c r="H46" s="462">
        <f t="shared" si="53"/>
        <v>2478469828.6413369</v>
      </c>
      <c r="I46" s="462">
        <f t="shared" si="53"/>
        <v>2609379816.3258581</v>
      </c>
      <c r="J46" s="462">
        <f t="shared" si="53"/>
        <v>2397429775.6939144</v>
      </c>
      <c r="K46" s="462">
        <f t="shared" si="53"/>
        <v>2338891464.5581369</v>
      </c>
      <c r="L46" s="462">
        <f t="shared" si="53"/>
        <v>2356779252.2866797</v>
      </c>
      <c r="M46" s="462">
        <f t="shared" si="53"/>
        <v>2310030339.8032174</v>
      </c>
      <c r="N46" s="462">
        <f t="shared" si="53"/>
        <v>2326056495.5278988</v>
      </c>
      <c r="O46" s="462">
        <f t="shared" si="53"/>
        <v>2321763510.9948382</v>
      </c>
      <c r="P46" s="462">
        <f t="shared" si="53"/>
        <v>2309085176.2931099</v>
      </c>
      <c r="Q46" s="462">
        <f t="shared" si="53"/>
        <v>2370006417.5227456</v>
      </c>
      <c r="R46" s="462">
        <f t="shared" si="53"/>
        <v>2354875145.707746</v>
      </c>
      <c r="S46" s="462">
        <f t="shared" si="53"/>
        <v>2309942333.1114664</v>
      </c>
      <c r="T46" s="462">
        <f t="shared" si="53"/>
        <v>2240926280.0495057</v>
      </c>
      <c r="U46" s="462">
        <f t="shared" si="53"/>
        <v>2149252754.962359</v>
      </c>
      <c r="V46" s="462">
        <f t="shared" si="53"/>
        <v>2197053063.2577281</v>
      </c>
      <c r="W46" s="462">
        <f t="shared" si="53"/>
        <v>2183130174.607233</v>
      </c>
      <c r="X46" s="462">
        <f t="shared" si="53"/>
        <v>2058153829.0803535</v>
      </c>
      <c r="Y46" s="462">
        <f t="shared" si="53"/>
        <v>1971996006.5119464</v>
      </c>
      <c r="Z46" s="462">
        <f t="shared" si="53"/>
        <v>1998066031.418386</v>
      </c>
      <c r="AA46" s="462">
        <f t="shared" si="53"/>
        <v>1998445120.6481798</v>
      </c>
      <c r="AB46" s="462">
        <f t="shared" si="53"/>
        <v>2172329968.6636295</v>
      </c>
      <c r="AC46" s="462">
        <f t="shared" si="53"/>
        <v>2126250695.392638</v>
      </c>
      <c r="AD46" s="462">
        <f t="shared" si="53"/>
        <v>2155943915.713429</v>
      </c>
      <c r="AE46" s="462">
        <f t="shared" si="53"/>
        <v>2084063968.0044785</v>
      </c>
      <c r="AF46" s="462">
        <f t="shared" si="53"/>
        <v>2078319783.8385541</v>
      </c>
      <c r="AG46" s="462">
        <f t="shared" si="53"/>
        <v>2161027996.3398986</v>
      </c>
      <c r="AH46" s="462">
        <f t="shared" si="53"/>
        <v>2298338796.4189463</v>
      </c>
      <c r="AI46" s="462">
        <f t="shared" si="53"/>
        <v>2168534986.464056</v>
      </c>
      <c r="AJ46" s="462">
        <f t="shared" si="53"/>
        <v>1996598786.3018429</v>
      </c>
      <c r="AK46" s="462">
        <f t="shared" si="53"/>
        <v>2066867308.0044265</v>
      </c>
      <c r="AL46" s="462">
        <f t="shared" si="53"/>
        <v>2061637313.8987429</v>
      </c>
      <c r="AM46" s="462">
        <f t="shared" si="53"/>
        <v>2079319473.9858127</v>
      </c>
      <c r="AN46" s="462">
        <f t="shared" si="53"/>
        <v>2043607873.344322</v>
      </c>
      <c r="AO46" s="462">
        <f t="shared" si="53"/>
        <v>2021733716.4647956</v>
      </c>
      <c r="AP46" s="462">
        <f t="shared" si="53"/>
        <v>2030302311.0931184</v>
      </c>
      <c r="AQ46" s="462">
        <f t="shared" si="53"/>
        <v>2106725230.3468509</v>
      </c>
      <c r="AR46" s="462">
        <f t="shared" si="53"/>
        <v>2063808655.3179741</v>
      </c>
      <c r="AS46" s="462">
        <f t="shared" si="53"/>
        <v>2100746413.6732726</v>
      </c>
      <c r="AT46" s="462">
        <f t="shared" si="53"/>
        <v>2036375890.9193358</v>
      </c>
      <c r="AU46" s="373">
        <f t="shared" si="53"/>
        <v>2218759163.4836602</v>
      </c>
      <c r="AV46" s="373">
        <f t="shared" si="53"/>
        <v>2047869319.0818229</v>
      </c>
      <c r="AW46" s="373">
        <f t="shared" si="53"/>
        <v>2105486707.7168753</v>
      </c>
      <c r="AX46" s="373">
        <f t="shared" si="53"/>
        <v>2167025088.990519</v>
      </c>
      <c r="AY46" s="373">
        <f t="shared" si="53"/>
        <v>2188479477.0520201</v>
      </c>
      <c r="AZ46" s="373">
        <f t="shared" si="53"/>
        <v>2227859911.8523211</v>
      </c>
      <c r="BA46" s="373">
        <f t="shared" si="53"/>
        <v>2226756367.2073298</v>
      </c>
      <c r="BB46" s="373">
        <f t="shared" si="53"/>
        <v>2300583842.6701603</v>
      </c>
      <c r="BC46" s="373">
        <f t="shared" si="53"/>
        <v>2398161506.4858074</v>
      </c>
      <c r="BD46" s="373">
        <f t="shared" si="53"/>
        <v>2379593378.7094193</v>
      </c>
      <c r="BE46" s="373">
        <f t="shared" si="53"/>
        <v>2665227006.5160789</v>
      </c>
      <c r="BF46" s="373">
        <f t="shared" si="53"/>
        <v>2465742350.1192856</v>
      </c>
      <c r="BG46" s="373">
        <f t="shared" si="53"/>
        <v>2331016986.7637954</v>
      </c>
      <c r="BH46" s="373">
        <f t="shared" si="53"/>
        <v>2266290174.1536002</v>
      </c>
      <c r="BI46" s="373">
        <f t="shared" si="53"/>
        <v>2295418001.5366182</v>
      </c>
      <c r="BJ46" s="373">
        <f t="shared" si="53"/>
        <v>2277314632.9848962</v>
      </c>
      <c r="BK46" s="373">
        <f t="shared" si="53"/>
        <v>2276139817.7251196</v>
      </c>
      <c r="BL46" s="373">
        <f t="shared" si="53"/>
        <v>2203589472.3625798</v>
      </c>
      <c r="BM46" s="373">
        <f t="shared" si="53"/>
        <v>2227933844.4880462</v>
      </c>
      <c r="BN46" s="373">
        <f t="shared" si="53"/>
        <v>2243953580.8002701</v>
      </c>
      <c r="BO46" s="373">
        <f t="shared" si="53"/>
        <v>2198691316.9743872</v>
      </c>
      <c r="BP46" s="373">
        <f t="shared" si="53"/>
        <v>2250101572.9208026</v>
      </c>
      <c r="BQ46" s="373">
        <f t="shared" si="53"/>
        <v>2215889284.468575</v>
      </c>
      <c r="BR46" s="373">
        <f t="shared" si="53"/>
        <v>2152248846.3929086</v>
      </c>
      <c r="BS46" s="373">
        <f t="shared" ref="BS46:CL47" si="54">BS12*BS2</f>
        <v>2109671997.3095498</v>
      </c>
      <c r="BT46" s="373">
        <f t="shared" si="54"/>
        <v>2166044725.6060715</v>
      </c>
      <c r="BU46" s="373">
        <f t="shared" si="54"/>
        <v>1997268865.4747066</v>
      </c>
      <c r="BV46" s="373">
        <f t="shared" si="54"/>
        <v>2023452480.5758178</v>
      </c>
      <c r="BW46" s="373">
        <f t="shared" si="54"/>
        <v>2007032713.7785003</v>
      </c>
      <c r="BX46" s="373">
        <f t="shared" si="54"/>
        <v>1945522250.9187005</v>
      </c>
      <c r="BY46" s="373">
        <f t="shared" si="54"/>
        <v>2007535456.3159351</v>
      </c>
      <c r="BZ46" s="373">
        <f t="shared" si="54"/>
        <v>2142708497.3920181</v>
      </c>
      <c r="CA46" s="373">
        <f t="shared" si="54"/>
        <v>1942535651.4879653</v>
      </c>
      <c r="CB46" s="373">
        <f t="shared" si="54"/>
        <v>2136215457.9280553</v>
      </c>
      <c r="CC46" s="373">
        <f t="shared" si="54"/>
        <v>2103190804.3081784</v>
      </c>
      <c r="CD46" s="373">
        <f t="shared" si="54"/>
        <v>2004847940.8761039</v>
      </c>
      <c r="CE46" s="373">
        <f t="shared" si="54"/>
        <v>2065873762.6901414</v>
      </c>
      <c r="CF46" s="373">
        <f t="shared" si="54"/>
        <v>2079056507.8263907</v>
      </c>
      <c r="CG46" s="373">
        <f t="shared" si="54"/>
        <v>2060565189.7553506</v>
      </c>
      <c r="CH46" s="373">
        <f t="shared" si="54"/>
        <v>2097002665.0313573</v>
      </c>
      <c r="CI46" s="373">
        <f t="shared" si="54"/>
        <v>2132602704.9361203</v>
      </c>
      <c r="CJ46" s="373">
        <f t="shared" si="54"/>
        <v>2275101946.6749616</v>
      </c>
      <c r="CK46" s="373">
        <f t="shared" si="54"/>
        <v>2349853146.4857817</v>
      </c>
      <c r="CL46" s="373">
        <f t="shared" si="54"/>
        <v>2415683750.0575304</v>
      </c>
      <c r="CM46" s="319">
        <f t="shared" si="27"/>
        <v>2189429907.949842</v>
      </c>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row>
    <row r="47" spans="1:179" s="314" customFormat="1">
      <c r="A47" s="460" t="s">
        <v>329</v>
      </c>
      <c r="B47" s="180" t="s">
        <v>309</v>
      </c>
      <c r="C47" s="460" t="s">
        <v>323</v>
      </c>
      <c r="D47" s="460"/>
      <c r="E47" s="461"/>
      <c r="F47" s="375" t="s">
        <v>0</v>
      </c>
      <c r="G47" s="462">
        <f t="shared" si="53"/>
        <v>966276839.62831879</v>
      </c>
      <c r="H47" s="462">
        <f t="shared" si="53"/>
        <v>806107321.95338333</v>
      </c>
      <c r="I47" s="462">
        <f t="shared" si="53"/>
        <v>739166241.13222921</v>
      </c>
      <c r="J47" s="462">
        <f t="shared" si="53"/>
        <v>565505098.63276041</v>
      </c>
      <c r="K47" s="462">
        <f t="shared" si="53"/>
        <v>598114915.16306257</v>
      </c>
      <c r="L47" s="462">
        <f t="shared" si="53"/>
        <v>669361191.25458336</v>
      </c>
      <c r="M47" s="462">
        <f t="shared" si="53"/>
        <v>618195125.52186668</v>
      </c>
      <c r="N47" s="462">
        <f t="shared" si="53"/>
        <v>635214197.29993749</v>
      </c>
      <c r="O47" s="462">
        <f t="shared" si="53"/>
        <v>553758716.16253114</v>
      </c>
      <c r="P47" s="462">
        <f t="shared" si="53"/>
        <v>538526056.1555438</v>
      </c>
      <c r="Q47" s="462">
        <f t="shared" si="53"/>
        <v>508936483.99871677</v>
      </c>
      <c r="R47" s="462">
        <f t="shared" si="53"/>
        <v>446702837.18759996</v>
      </c>
      <c r="S47" s="462">
        <f t="shared" si="53"/>
        <v>501742113.04979992</v>
      </c>
      <c r="T47" s="462">
        <f t="shared" si="53"/>
        <v>559814208.11178327</v>
      </c>
      <c r="U47" s="462">
        <f t="shared" si="53"/>
        <v>655615764.14069164</v>
      </c>
      <c r="V47" s="462">
        <f t="shared" si="53"/>
        <v>497372515.50000006</v>
      </c>
      <c r="W47" s="462">
        <f t="shared" si="53"/>
        <v>415352601.70833337</v>
      </c>
      <c r="X47" s="462">
        <f t="shared" si="53"/>
        <v>412939623.25</v>
      </c>
      <c r="Y47" s="462">
        <f t="shared" si="53"/>
        <v>454835762.50000006</v>
      </c>
      <c r="Z47" s="462">
        <f t="shared" si="53"/>
        <v>464936105.95833337</v>
      </c>
      <c r="AA47" s="462">
        <f t="shared" si="53"/>
        <v>473840637.08333337</v>
      </c>
      <c r="AB47" s="462">
        <f t="shared" si="53"/>
        <v>422207168.83333337</v>
      </c>
      <c r="AC47" s="462">
        <f t="shared" si="53"/>
        <v>407643882.91666669</v>
      </c>
      <c r="AD47" s="462">
        <f t="shared" si="53"/>
        <v>420755111</v>
      </c>
      <c r="AE47" s="462">
        <f t="shared" si="53"/>
        <v>484688363.25000006</v>
      </c>
      <c r="AF47" s="462">
        <f t="shared" si="53"/>
        <v>565042681.29166675</v>
      </c>
      <c r="AG47" s="462">
        <f t="shared" si="53"/>
        <v>550116380.91666675</v>
      </c>
      <c r="AH47" s="462">
        <f t="shared" si="53"/>
        <v>632307125.04166675</v>
      </c>
      <c r="AI47" s="462">
        <f t="shared" si="53"/>
        <v>728570017.87500012</v>
      </c>
      <c r="AJ47" s="462">
        <f t="shared" si="53"/>
        <v>673776188.45833349</v>
      </c>
      <c r="AK47" s="462">
        <f t="shared" si="53"/>
        <v>591500029.16666675</v>
      </c>
      <c r="AL47" s="462">
        <f t="shared" si="53"/>
        <v>529616740.91666675</v>
      </c>
      <c r="AM47" s="462">
        <f t="shared" si="53"/>
        <v>529830278.83333337</v>
      </c>
      <c r="AN47" s="462">
        <f t="shared" si="53"/>
        <v>474096882.58333337</v>
      </c>
      <c r="AO47" s="462">
        <f t="shared" si="53"/>
        <v>573925858.62500012</v>
      </c>
      <c r="AP47" s="462">
        <f t="shared" si="53"/>
        <v>661113390.00000012</v>
      </c>
      <c r="AQ47" s="462">
        <f t="shared" si="53"/>
        <v>798076609.75</v>
      </c>
      <c r="AR47" s="462">
        <f t="shared" si="53"/>
        <v>795962584.375</v>
      </c>
      <c r="AS47" s="462">
        <f t="shared" si="53"/>
        <v>808070184.25000012</v>
      </c>
      <c r="AT47" s="462">
        <f t="shared" si="53"/>
        <v>802261952.91666675</v>
      </c>
      <c r="AU47" s="373">
        <f t="shared" si="53"/>
        <v>723509169.25</v>
      </c>
      <c r="AV47" s="373">
        <f t="shared" si="53"/>
        <v>666942975.12500012</v>
      </c>
      <c r="AW47" s="373">
        <f t="shared" si="53"/>
        <v>667455466.12500012</v>
      </c>
      <c r="AX47" s="373">
        <f t="shared" si="53"/>
        <v>720348808.08333337</v>
      </c>
      <c r="AY47" s="373">
        <f t="shared" si="53"/>
        <v>812276881.20833349</v>
      </c>
      <c r="AZ47" s="373">
        <f t="shared" si="53"/>
        <v>813622170.08333349</v>
      </c>
      <c r="BA47" s="373">
        <f t="shared" si="53"/>
        <v>864956685.25000012</v>
      </c>
      <c r="BB47" s="373">
        <f t="shared" si="53"/>
        <v>923829088.87500012</v>
      </c>
      <c r="BC47" s="373">
        <f t="shared" si="53"/>
        <v>1026754364.7083335</v>
      </c>
      <c r="BD47" s="373">
        <f t="shared" si="53"/>
        <v>821565780.58333349</v>
      </c>
      <c r="BE47" s="373">
        <f t="shared" si="53"/>
        <v>672772560.25000012</v>
      </c>
      <c r="BF47" s="373">
        <f t="shared" si="53"/>
        <v>649817234.20833337</v>
      </c>
      <c r="BG47" s="373">
        <f t="shared" si="53"/>
        <v>668544509.50000012</v>
      </c>
      <c r="BH47" s="373">
        <f t="shared" si="53"/>
        <v>726285162.16666675</v>
      </c>
      <c r="BI47" s="373">
        <f t="shared" si="53"/>
        <v>762928268.66666675</v>
      </c>
      <c r="BJ47" s="373">
        <f t="shared" si="53"/>
        <v>782125327.37500012</v>
      </c>
      <c r="BK47" s="373">
        <f t="shared" si="53"/>
        <v>637624219.16666675</v>
      </c>
      <c r="BL47" s="373">
        <f t="shared" si="53"/>
        <v>551077301.54166675</v>
      </c>
      <c r="BM47" s="373">
        <f t="shared" si="53"/>
        <v>561967735.29166675</v>
      </c>
      <c r="BN47" s="373">
        <f t="shared" si="53"/>
        <v>530962029.79166675</v>
      </c>
      <c r="BO47" s="373">
        <f t="shared" si="53"/>
        <v>635851854.45833337</v>
      </c>
      <c r="BP47" s="373">
        <f t="shared" si="53"/>
        <v>657397830.25000012</v>
      </c>
      <c r="BQ47" s="373">
        <f t="shared" si="53"/>
        <v>668907523.95833337</v>
      </c>
      <c r="BR47" s="373">
        <f t="shared" si="53"/>
        <v>859831775.25</v>
      </c>
      <c r="BS47" s="373">
        <f t="shared" si="54"/>
        <v>774971807.16666687</v>
      </c>
      <c r="BT47" s="373">
        <f t="shared" si="54"/>
        <v>687015539.29166675</v>
      </c>
      <c r="BU47" s="373">
        <f t="shared" si="54"/>
        <v>374054368.62500006</v>
      </c>
      <c r="BV47" s="373">
        <f t="shared" si="54"/>
        <v>549945550.58333337</v>
      </c>
      <c r="BW47" s="373">
        <f t="shared" si="54"/>
        <v>566217139.83333337</v>
      </c>
      <c r="BX47" s="373">
        <f t="shared" si="54"/>
        <v>575676869.54166675</v>
      </c>
      <c r="BY47" s="373">
        <f t="shared" si="54"/>
        <v>579883566.5</v>
      </c>
      <c r="BZ47" s="373">
        <f t="shared" si="54"/>
        <v>572580569.75000012</v>
      </c>
      <c r="CA47" s="373">
        <f t="shared" si="54"/>
        <v>589941202.37500012</v>
      </c>
      <c r="CB47" s="373">
        <f t="shared" si="54"/>
        <v>680630755.58333337</v>
      </c>
      <c r="CC47" s="373">
        <f t="shared" si="54"/>
        <v>706831857.95833337</v>
      </c>
      <c r="CD47" s="373">
        <f t="shared" si="54"/>
        <v>858251594.66666675</v>
      </c>
      <c r="CE47" s="373">
        <f t="shared" si="54"/>
        <v>942898024.83333337</v>
      </c>
      <c r="CF47" s="373">
        <f t="shared" si="54"/>
        <v>971640228.41666675</v>
      </c>
      <c r="CG47" s="373">
        <f t="shared" si="54"/>
        <v>890858834.54166675</v>
      </c>
      <c r="CH47" s="373">
        <f t="shared" si="54"/>
        <v>771042709.5</v>
      </c>
      <c r="CI47" s="373">
        <f t="shared" si="54"/>
        <v>834783777.625</v>
      </c>
      <c r="CJ47" s="373">
        <f t="shared" si="54"/>
        <v>985925915.04166687</v>
      </c>
      <c r="CK47" s="373">
        <f t="shared" si="54"/>
        <v>1042385340.2083335</v>
      </c>
      <c r="CL47" s="375">
        <f t="shared" si="54"/>
        <v>1045866008.2500002</v>
      </c>
      <c r="CM47" s="319">
        <f t="shared" si="27"/>
        <v>665959906.76013243</v>
      </c>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row>
    <row r="48" spans="1:179">
      <c r="A48" s="463" t="s">
        <v>329</v>
      </c>
      <c r="B48" s="52" t="s">
        <v>309</v>
      </c>
      <c r="C48" s="362" t="s">
        <v>323</v>
      </c>
      <c r="D48" s="362"/>
      <c r="E48" s="58"/>
      <c r="F48" s="382" t="s">
        <v>304</v>
      </c>
      <c r="G48" s="464">
        <f t="shared" ref="G48:BR49" si="55">G4*G14</f>
        <v>556625585.65250707</v>
      </c>
      <c r="H48" s="464">
        <f t="shared" si="55"/>
        <v>438835527.40303999</v>
      </c>
      <c r="I48" s="464">
        <f t="shared" si="55"/>
        <v>423976503.311378</v>
      </c>
      <c r="J48" s="464">
        <f t="shared" si="55"/>
        <v>346124986.33125669</v>
      </c>
      <c r="K48" s="464">
        <f t="shared" si="55"/>
        <v>353102550.82908803</v>
      </c>
      <c r="L48" s="464">
        <f t="shared" si="55"/>
        <v>340828462.19349068</v>
      </c>
      <c r="M48" s="464">
        <f t="shared" si="55"/>
        <v>349585250.93480539</v>
      </c>
      <c r="N48" s="464">
        <f t="shared" si="55"/>
        <v>359127243.20921671</v>
      </c>
      <c r="O48" s="464">
        <f t="shared" si="55"/>
        <v>332970476.15172005</v>
      </c>
      <c r="P48" s="464">
        <f t="shared" si="55"/>
        <v>320690470.17301506</v>
      </c>
      <c r="Q48" s="464">
        <f t="shared" si="55"/>
        <v>308686908.14997339</v>
      </c>
      <c r="R48" s="464">
        <f t="shared" si="55"/>
        <v>270778857.16742402</v>
      </c>
      <c r="S48" s="464">
        <f t="shared" si="55"/>
        <v>281551870.52743602</v>
      </c>
      <c r="T48" s="464">
        <f t="shared" si="55"/>
        <v>341211434.68296802</v>
      </c>
      <c r="U48" s="464">
        <f t="shared" si="55"/>
        <v>374690484.70866168</v>
      </c>
      <c r="V48" s="464">
        <f t="shared" si="55"/>
        <v>312097333.33333337</v>
      </c>
      <c r="W48" s="464">
        <f t="shared" si="55"/>
        <v>254841333.33333334</v>
      </c>
      <c r="X48" s="464">
        <f t="shared" si="55"/>
        <v>252937333.33333334</v>
      </c>
      <c r="Y48" s="464">
        <f t="shared" si="55"/>
        <v>276159333.33333337</v>
      </c>
      <c r="Z48" s="464">
        <f t="shared" si="55"/>
        <v>301761333.33333337</v>
      </c>
      <c r="AA48" s="464">
        <f t="shared" si="55"/>
        <v>290926666.66666669</v>
      </c>
      <c r="AB48" s="464">
        <f t="shared" si="55"/>
        <v>246284666.66666669</v>
      </c>
      <c r="AC48" s="464">
        <f t="shared" si="55"/>
        <v>230248000</v>
      </c>
      <c r="AD48" s="464">
        <f t="shared" si="55"/>
        <v>253356666.66666669</v>
      </c>
      <c r="AE48" s="464">
        <f t="shared" si="55"/>
        <v>292785333.33333337</v>
      </c>
      <c r="AF48" s="464">
        <f t="shared" si="55"/>
        <v>353860666.66666669</v>
      </c>
      <c r="AG48" s="464">
        <f t="shared" si="55"/>
        <v>337518000</v>
      </c>
      <c r="AH48" s="464">
        <f t="shared" si="55"/>
        <v>399409333.33333337</v>
      </c>
      <c r="AI48" s="464">
        <f t="shared" si="55"/>
        <v>475807333.33333337</v>
      </c>
      <c r="AJ48" s="464">
        <f t="shared" si="55"/>
        <v>467522666.66666669</v>
      </c>
      <c r="AK48" s="464">
        <f t="shared" si="55"/>
        <v>374158666.66666669</v>
      </c>
      <c r="AL48" s="464">
        <f t="shared" si="55"/>
        <v>297817333.33333337</v>
      </c>
      <c r="AM48" s="464">
        <f t="shared" si="55"/>
        <v>297930666.66666669</v>
      </c>
      <c r="AN48" s="464">
        <f t="shared" si="55"/>
        <v>278426000</v>
      </c>
      <c r="AO48" s="464">
        <f t="shared" si="55"/>
        <v>348930666.66666669</v>
      </c>
      <c r="AP48" s="464">
        <f t="shared" si="55"/>
        <v>382273333.33333337</v>
      </c>
      <c r="AQ48" s="464">
        <f t="shared" si="55"/>
        <v>446873333.33333337</v>
      </c>
      <c r="AR48" s="464">
        <f t="shared" si="55"/>
        <v>445683333.33333337</v>
      </c>
      <c r="AS48" s="464">
        <f t="shared" si="55"/>
        <v>433352666.66666669</v>
      </c>
      <c r="AT48" s="464">
        <f t="shared" si="55"/>
        <v>430236000</v>
      </c>
      <c r="AU48" s="376">
        <f t="shared" si="55"/>
        <v>386319333.33333337</v>
      </c>
      <c r="AV48" s="376">
        <f t="shared" si="55"/>
        <v>358643333.33333337</v>
      </c>
      <c r="AW48" s="376">
        <f t="shared" si="55"/>
        <v>366610666.66666669</v>
      </c>
      <c r="AX48" s="376">
        <f t="shared" si="55"/>
        <v>403874666.66666669</v>
      </c>
      <c r="AY48" s="376">
        <f t="shared" si="55"/>
        <v>450896666.66666669</v>
      </c>
      <c r="AZ48" s="376">
        <f t="shared" si="55"/>
        <v>463850666.66666669</v>
      </c>
      <c r="BA48" s="376">
        <f t="shared" si="55"/>
        <v>492558000</v>
      </c>
      <c r="BB48" s="376">
        <f t="shared" si="55"/>
        <v>542730666.66666675</v>
      </c>
      <c r="BC48" s="376">
        <f t="shared" si="55"/>
        <v>569953333.33333337</v>
      </c>
      <c r="BD48" s="376">
        <f t="shared" si="55"/>
        <v>443394000</v>
      </c>
      <c r="BE48" s="376">
        <f t="shared" si="55"/>
        <v>348284666.66666669</v>
      </c>
      <c r="BF48" s="376">
        <f t="shared" si="55"/>
        <v>352330666.66666669</v>
      </c>
      <c r="BG48" s="376">
        <f t="shared" si="55"/>
        <v>396417333.33333337</v>
      </c>
      <c r="BH48" s="376">
        <f t="shared" si="55"/>
        <v>427844666.66666669</v>
      </c>
      <c r="BI48" s="376">
        <f t="shared" si="55"/>
        <v>439948666.66666669</v>
      </c>
      <c r="BJ48" s="376">
        <f t="shared" si="55"/>
        <v>438294000</v>
      </c>
      <c r="BK48" s="376">
        <f t="shared" si="55"/>
        <v>341598000</v>
      </c>
      <c r="BL48" s="376">
        <f t="shared" si="55"/>
        <v>289589333.33333337</v>
      </c>
      <c r="BM48" s="376">
        <f t="shared" si="55"/>
        <v>303518000</v>
      </c>
      <c r="BN48" s="376">
        <f t="shared" si="55"/>
        <v>303155333.33333337</v>
      </c>
      <c r="BO48" s="376">
        <f t="shared" si="55"/>
        <v>365568000</v>
      </c>
      <c r="BP48" s="376">
        <f t="shared" si="55"/>
        <v>377660666.66666669</v>
      </c>
      <c r="BQ48" s="376">
        <f t="shared" si="55"/>
        <v>383973333.33333337</v>
      </c>
      <c r="BR48" s="376">
        <f t="shared" si="55"/>
        <v>498406000</v>
      </c>
      <c r="BS48" s="376">
        <f t="shared" ref="BS48:CL49" si="56">BS4*BS14</f>
        <v>464258666.66666669</v>
      </c>
      <c r="BT48" s="376">
        <f t="shared" si="56"/>
        <v>425702666.66666669</v>
      </c>
      <c r="BU48" s="376">
        <f t="shared" si="56"/>
        <v>216659333.33333334</v>
      </c>
      <c r="BV48" s="376">
        <f t="shared" si="56"/>
        <v>305274666.66666669</v>
      </c>
      <c r="BW48" s="376">
        <f t="shared" si="56"/>
        <v>296344000</v>
      </c>
      <c r="BX48" s="376">
        <f t="shared" si="56"/>
        <v>301806666.66666669</v>
      </c>
      <c r="BY48" s="376">
        <f t="shared" si="56"/>
        <v>304254666.66666669</v>
      </c>
      <c r="BZ48" s="376">
        <f t="shared" si="56"/>
        <v>309139333.33333337</v>
      </c>
      <c r="CA48" s="376">
        <f t="shared" si="56"/>
        <v>331840000</v>
      </c>
      <c r="CB48" s="376">
        <f t="shared" si="56"/>
        <v>386614000</v>
      </c>
      <c r="CC48" s="376">
        <f t="shared" si="56"/>
        <v>401075333.33333337</v>
      </c>
      <c r="CD48" s="376">
        <f t="shared" si="56"/>
        <v>459090666.66666669</v>
      </c>
      <c r="CE48" s="376">
        <f t="shared" si="56"/>
        <v>506101333.33333337</v>
      </c>
      <c r="CF48" s="376">
        <f t="shared" si="56"/>
        <v>513468000</v>
      </c>
      <c r="CG48" s="376">
        <f t="shared" si="56"/>
        <v>468032666.66666669</v>
      </c>
      <c r="CH48" s="376">
        <f t="shared" si="56"/>
        <v>410720000</v>
      </c>
      <c r="CI48" s="376">
        <f t="shared" si="56"/>
        <v>459022666.66666669</v>
      </c>
      <c r="CJ48" s="376">
        <f t="shared" si="56"/>
        <v>547286666.66666675</v>
      </c>
      <c r="CK48" s="376">
        <f t="shared" si="56"/>
        <v>574248666.66666675</v>
      </c>
      <c r="CL48" s="382">
        <f t="shared" si="56"/>
        <v>580561333.33333337</v>
      </c>
      <c r="CM48" s="319">
        <f t="shared" si="27"/>
        <v>379606023.15189666</v>
      </c>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c r="EU48" s="58"/>
      <c r="EV48" s="58"/>
      <c r="EW48" s="58"/>
      <c r="EX48" s="58"/>
      <c r="EY48" s="58"/>
      <c r="EZ48" s="58"/>
      <c r="FA48" s="58"/>
      <c r="FB48" s="58"/>
      <c r="FC48" s="58"/>
      <c r="FD48" s="58"/>
      <c r="FE48" s="58"/>
      <c r="FF48" s="58"/>
      <c r="FG48" s="58"/>
      <c r="FH48" s="58"/>
      <c r="FI48" s="58"/>
      <c r="FJ48" s="58"/>
      <c r="FK48" s="58"/>
      <c r="FL48" s="58"/>
      <c r="FM48" s="58"/>
      <c r="FN48" s="58"/>
      <c r="FO48" s="58"/>
      <c r="FP48" s="58"/>
      <c r="FQ48" s="58"/>
      <c r="FR48" s="58"/>
      <c r="FS48" s="58"/>
      <c r="FT48" s="58"/>
      <c r="FU48" s="58"/>
      <c r="FV48" s="58"/>
    </row>
    <row r="49" spans="1:178">
      <c r="A49" s="463" t="s">
        <v>329</v>
      </c>
      <c r="B49" s="52" t="s">
        <v>309</v>
      </c>
      <c r="C49" s="362" t="s">
        <v>323</v>
      </c>
      <c r="D49" s="362"/>
      <c r="E49" s="58"/>
      <c r="F49" s="382" t="s">
        <v>1</v>
      </c>
      <c r="G49" s="464">
        <f t="shared" si="55"/>
        <v>3908726441.9254236</v>
      </c>
      <c r="H49" s="464">
        <f t="shared" si="55"/>
        <v>3514027412.0427394</v>
      </c>
      <c r="I49" s="464">
        <f t="shared" si="55"/>
        <v>2798493904.8734527</v>
      </c>
      <c r="J49" s="464">
        <f t="shared" si="55"/>
        <v>2201640324.2780237</v>
      </c>
      <c r="K49" s="464">
        <f t="shared" si="55"/>
        <v>2795279090.8724008</v>
      </c>
      <c r="L49" s="464">
        <f t="shared" si="55"/>
        <v>2788165924.7509313</v>
      </c>
      <c r="M49" s="464">
        <f t="shared" si="55"/>
        <v>2940994934.8748651</v>
      </c>
      <c r="N49" s="464">
        <f t="shared" si="55"/>
        <v>3133489098.1868234</v>
      </c>
      <c r="O49" s="464">
        <f t="shared" si="55"/>
        <v>3043752198.4173245</v>
      </c>
      <c r="P49" s="464">
        <f t="shared" si="55"/>
        <v>2616226283.4299817</v>
      </c>
      <c r="Q49" s="464">
        <f t="shared" si="55"/>
        <v>2323914395.7946377</v>
      </c>
      <c r="R49" s="464">
        <f t="shared" si="55"/>
        <v>2475752873.247715</v>
      </c>
      <c r="S49" s="464">
        <f t="shared" si="55"/>
        <v>2568613966.47861</v>
      </c>
      <c r="T49" s="464">
        <f t="shared" si="55"/>
        <v>2590706486.8260255</v>
      </c>
      <c r="U49" s="464">
        <f t="shared" si="55"/>
        <v>2392086502.4334245</v>
      </c>
      <c r="V49" s="464">
        <f t="shared" si="55"/>
        <v>1943909562.9578621</v>
      </c>
      <c r="W49" s="464">
        <f t="shared" si="55"/>
        <v>1851023834.6114604</v>
      </c>
      <c r="X49" s="464">
        <f t="shared" si="55"/>
        <v>2082228601.2618918</v>
      </c>
      <c r="Y49" s="464">
        <f t="shared" si="55"/>
        <v>2263778272.85075</v>
      </c>
      <c r="Z49" s="464">
        <f t="shared" si="55"/>
        <v>2380817684.0573997</v>
      </c>
      <c r="AA49" s="464">
        <f t="shared" si="55"/>
        <v>2467977651.6681862</v>
      </c>
      <c r="AB49" s="464">
        <f t="shared" si="55"/>
        <v>2247541077.5238752</v>
      </c>
      <c r="AC49" s="464">
        <f t="shared" si="55"/>
        <v>2149175570.5388184</v>
      </c>
      <c r="AD49" s="464">
        <f t="shared" si="55"/>
        <v>2294004640.6213126</v>
      </c>
      <c r="AE49" s="464">
        <f t="shared" si="55"/>
        <v>2568648598.8331499</v>
      </c>
      <c r="AF49" s="464">
        <f t="shared" si="55"/>
        <v>2555502509.2420568</v>
      </c>
      <c r="AG49" s="464">
        <f t="shared" si="55"/>
        <v>2814177863.6811876</v>
      </c>
      <c r="AH49" s="464">
        <f t="shared" si="55"/>
        <v>3030993744.0412869</v>
      </c>
      <c r="AI49" s="464">
        <f t="shared" si="55"/>
        <v>3023739296.3219528</v>
      </c>
      <c r="AJ49" s="464">
        <f t="shared" si="55"/>
        <v>2673208153.3631248</v>
      </c>
      <c r="AK49" s="464">
        <f t="shared" si="55"/>
        <v>2698122228.583066</v>
      </c>
      <c r="AL49" s="464">
        <f t="shared" si="55"/>
        <v>2511967792.3475623</v>
      </c>
      <c r="AM49" s="464">
        <f t="shared" si="55"/>
        <v>2322321101.8959374</v>
      </c>
      <c r="AN49" s="464">
        <f t="shared" si="55"/>
        <v>2377323717.4753995</v>
      </c>
      <c r="AO49" s="464">
        <f t="shared" si="55"/>
        <v>2590965283.9215765</v>
      </c>
      <c r="AP49" s="464">
        <f t="shared" si="55"/>
        <v>2857051662.2025003</v>
      </c>
      <c r="AQ49" s="464">
        <f t="shared" si="55"/>
        <v>3007101814.8839998</v>
      </c>
      <c r="AR49" s="464">
        <f t="shared" si="55"/>
        <v>3345439935.2438354</v>
      </c>
      <c r="AS49" s="464">
        <f t="shared" si="55"/>
        <v>3329077151.9879999</v>
      </c>
      <c r="AT49" s="464">
        <f t="shared" si="55"/>
        <v>3385733570.6035233</v>
      </c>
      <c r="AU49" s="376">
        <f t="shared" si="55"/>
        <v>3175395890.0502634</v>
      </c>
      <c r="AV49" s="376">
        <f t="shared" si="55"/>
        <v>3270888466.2149997</v>
      </c>
      <c r="AW49" s="376">
        <f t="shared" si="55"/>
        <v>3503378933.1210003</v>
      </c>
      <c r="AX49" s="376">
        <f t="shared" si="55"/>
        <v>3997467856.2815628</v>
      </c>
      <c r="AY49" s="376">
        <f t="shared" si="55"/>
        <v>3827197556.5950003</v>
      </c>
      <c r="AZ49" s="376">
        <f t="shared" si="55"/>
        <v>3955764474.8047833</v>
      </c>
      <c r="BA49" s="376">
        <f t="shared" si="55"/>
        <v>4027188121.7728119</v>
      </c>
      <c r="BB49" s="376">
        <f t="shared" si="55"/>
        <v>4366514201.1566248</v>
      </c>
      <c r="BC49" s="376">
        <f t="shared" si="55"/>
        <v>4401538365.7284374</v>
      </c>
      <c r="BD49" s="376">
        <f t="shared" si="55"/>
        <v>3253515034.0389066</v>
      </c>
      <c r="BE49" s="376">
        <f t="shared" si="55"/>
        <v>2884142496.7695088</v>
      </c>
      <c r="BF49" s="376">
        <f t="shared" si="55"/>
        <v>2895251978.0193071</v>
      </c>
      <c r="BG49" s="376">
        <f t="shared" si="55"/>
        <v>3200931847.5954165</v>
      </c>
      <c r="BH49" s="376">
        <f t="shared" si="55"/>
        <v>3330465177.27</v>
      </c>
      <c r="BI49" s="376">
        <f t="shared" si="55"/>
        <v>3540156749.2486877</v>
      </c>
      <c r="BJ49" s="376">
        <f t="shared" si="55"/>
        <v>3359852762.0714064</v>
      </c>
      <c r="BK49" s="376">
        <f t="shared" si="55"/>
        <v>2871681980.634655</v>
      </c>
      <c r="BL49" s="376">
        <f t="shared" si="55"/>
        <v>3078803724.0974998</v>
      </c>
      <c r="BM49" s="376">
        <f t="shared" si="55"/>
        <v>2871881209.8457031</v>
      </c>
      <c r="BN49" s="376">
        <f t="shared" si="55"/>
        <v>3064046380.3826499</v>
      </c>
      <c r="BO49" s="376">
        <f t="shared" si="55"/>
        <v>3091743059.4902725</v>
      </c>
      <c r="BP49" s="376">
        <f t="shared" si="55"/>
        <v>3310469807.897625</v>
      </c>
      <c r="BQ49" s="376">
        <f t="shared" si="55"/>
        <v>3465963396.7326002</v>
      </c>
      <c r="BR49" s="376">
        <f t="shared" si="55"/>
        <v>3375550707.8905001</v>
      </c>
      <c r="BS49" s="376">
        <f t="shared" si="56"/>
        <v>2977773967.9970622</v>
      </c>
      <c r="BT49" s="376">
        <f t="shared" si="56"/>
        <v>1704568501.6545341</v>
      </c>
      <c r="BU49" s="376">
        <f t="shared" si="56"/>
        <v>781251109.03849995</v>
      </c>
      <c r="BV49" s="376">
        <f t="shared" si="56"/>
        <v>1372235978.7604997</v>
      </c>
      <c r="BW49" s="376">
        <f t="shared" si="56"/>
        <v>2356759428.4493442</v>
      </c>
      <c r="BX49" s="376">
        <f t="shared" si="56"/>
        <v>2592096826.9034996</v>
      </c>
      <c r="BY49" s="376">
        <f t="shared" si="56"/>
        <v>2557482639.7951689</v>
      </c>
      <c r="BZ49" s="376">
        <f t="shared" si="56"/>
        <v>2534214451.5779314</v>
      </c>
      <c r="CA49" s="376">
        <f t="shared" si="56"/>
        <v>2505866636.154716</v>
      </c>
      <c r="CB49" s="376">
        <f t="shared" si="56"/>
        <v>2457485181.05475</v>
      </c>
      <c r="CC49" s="376">
        <f t="shared" si="56"/>
        <v>2829117170.8721247</v>
      </c>
      <c r="CD49" s="376">
        <f t="shared" si="56"/>
        <v>3301760915.4732561</v>
      </c>
      <c r="CE49" s="376">
        <f t="shared" si="56"/>
        <v>3636669870.2056584</v>
      </c>
      <c r="CF49" s="376">
        <f t="shared" si="56"/>
        <v>3778958522.006063</v>
      </c>
      <c r="CG49" s="376">
        <f t="shared" si="56"/>
        <v>3700268467.2624378</v>
      </c>
      <c r="CH49" s="376">
        <f t="shared" si="56"/>
        <v>3864891983.7502022</v>
      </c>
      <c r="CI49" s="376">
        <f t="shared" si="56"/>
        <v>4193015122.5048661</v>
      </c>
      <c r="CJ49" s="376">
        <f t="shared" si="56"/>
        <v>4506358737.0811567</v>
      </c>
      <c r="CK49" s="376">
        <f t="shared" si="56"/>
        <v>4202014312.7192988</v>
      </c>
      <c r="CL49" s="382">
        <f t="shared" si="56"/>
        <v>4439291031.5641661</v>
      </c>
      <c r="CM49" s="319">
        <f t="shared" si="27"/>
        <v>2967566335.6153293</v>
      </c>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490"/>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c r="FP49" s="58"/>
      <c r="FQ49" s="58"/>
      <c r="FR49" s="58"/>
      <c r="FS49" s="58"/>
      <c r="FT49" s="58"/>
      <c r="FU49" s="58"/>
      <c r="FV49" s="58"/>
    </row>
    <row r="50" spans="1:178">
      <c r="A50" s="463" t="s">
        <v>330</v>
      </c>
      <c r="B50" s="52" t="s">
        <v>309</v>
      </c>
      <c r="C50" s="362" t="s">
        <v>323</v>
      </c>
      <c r="D50" s="362"/>
      <c r="E50" s="58"/>
      <c r="F50" s="382" t="s">
        <v>331</v>
      </c>
      <c r="G50" s="464">
        <f t="shared" ref="G50:BR50" si="57">G46*$CO$4+G47*$CP$4+G48*$CQ$4+G49*$CR$4</f>
        <v>5579363468.0984802</v>
      </c>
      <c r="H50" s="464">
        <f t="shared" si="57"/>
        <v>5266836011.6020136</v>
      </c>
      <c r="I50" s="464">
        <f t="shared" si="57"/>
        <v>4929320083.5202894</v>
      </c>
      <c r="J50" s="464">
        <f t="shared" si="57"/>
        <v>4215184737.7772903</v>
      </c>
      <c r="K50" s="464">
        <f t="shared" si="57"/>
        <v>4526506259.8207388</v>
      </c>
      <c r="L50" s="464">
        <f t="shared" si="57"/>
        <v>4579773313.3435383</v>
      </c>
      <c r="M50" s="464">
        <f t="shared" si="57"/>
        <v>4593513899.1724081</v>
      </c>
      <c r="N50" s="464">
        <f t="shared" si="57"/>
        <v>4737499230.7403355</v>
      </c>
      <c r="O50" s="464">
        <f t="shared" si="57"/>
        <v>4612633747.8817558</v>
      </c>
      <c r="P50" s="464">
        <f t="shared" si="57"/>
        <v>4335473649.9223614</v>
      </c>
      <c r="Q50" s="464">
        <f t="shared" si="57"/>
        <v>4200033695.5554452</v>
      </c>
      <c r="R50" s="464">
        <f t="shared" si="57"/>
        <v>4210148052.3324685</v>
      </c>
      <c r="S50" s="464">
        <f t="shared" si="57"/>
        <v>4261923959.2087278</v>
      </c>
      <c r="T50" s="464">
        <f t="shared" si="57"/>
        <v>4279231241.5135775</v>
      </c>
      <c r="U50" s="464">
        <f t="shared" si="57"/>
        <v>4156009615.6059389</v>
      </c>
      <c r="V50" s="464">
        <f t="shared" si="57"/>
        <v>3803536596.0708318</v>
      </c>
      <c r="W50" s="464">
        <f t="shared" si="57"/>
        <v>3648958494.0587234</v>
      </c>
      <c r="X50" s="464">
        <f t="shared" si="57"/>
        <v>3656655291.5054412</v>
      </c>
      <c r="Y50" s="464">
        <f t="shared" si="57"/>
        <v>3717619284.035625</v>
      </c>
      <c r="Z50" s="464">
        <f t="shared" si="57"/>
        <v>3832594450.4607334</v>
      </c>
      <c r="AA50" s="464">
        <f t="shared" si="57"/>
        <v>3883008853.5009518</v>
      </c>
      <c r="AB50" s="464">
        <f t="shared" si="57"/>
        <v>3867401595.571887</v>
      </c>
      <c r="AC50" s="464">
        <f t="shared" si="57"/>
        <v>3746074497.5740352</v>
      </c>
      <c r="AD50" s="464">
        <f t="shared" si="57"/>
        <v>3881253028.8852549</v>
      </c>
      <c r="AE50" s="464">
        <f t="shared" si="57"/>
        <v>4034083904.3591795</v>
      </c>
      <c r="AF50" s="464">
        <f t="shared" si="57"/>
        <v>4108961702.9080467</v>
      </c>
      <c r="AG50" s="464">
        <f t="shared" si="57"/>
        <v>4321162591.1146917</v>
      </c>
      <c r="AH50" s="464">
        <f t="shared" si="57"/>
        <v>4672186912.5576124</v>
      </c>
      <c r="AI50" s="464">
        <f t="shared" si="57"/>
        <v>4647235953.9969883</v>
      </c>
      <c r="AJ50" s="464">
        <f t="shared" si="57"/>
        <v>4233628431.9714403</v>
      </c>
      <c r="AK50" s="464">
        <f t="shared" si="57"/>
        <v>4209354250.7671118</v>
      </c>
      <c r="AL50" s="464">
        <f t="shared" si="57"/>
        <v>4011549872.7750678</v>
      </c>
      <c r="AM50" s="464">
        <f t="shared" si="57"/>
        <v>3919429481.3738241</v>
      </c>
      <c r="AN50" s="464">
        <f t="shared" si="57"/>
        <v>3868074781.8384337</v>
      </c>
      <c r="AO50" s="464">
        <f t="shared" si="57"/>
        <v>4076571781.4667993</v>
      </c>
      <c r="AP50" s="464">
        <f t="shared" si="57"/>
        <v>4315685461.0914993</v>
      </c>
      <c r="AQ50" s="464">
        <f t="shared" si="57"/>
        <v>4605463164.8580647</v>
      </c>
      <c r="AR50" s="464">
        <f t="shared" si="57"/>
        <v>4756865457.373642</v>
      </c>
      <c r="AS50" s="464">
        <f t="shared" si="57"/>
        <v>4784702607.9471903</v>
      </c>
      <c r="AT50" s="464">
        <f t="shared" si="57"/>
        <v>4748287494.4235411</v>
      </c>
      <c r="AU50" s="376">
        <f t="shared" si="57"/>
        <v>4729521663.6625338</v>
      </c>
      <c r="AV50" s="376">
        <f t="shared" si="57"/>
        <v>4562780890.9295702</v>
      </c>
      <c r="AW50" s="376">
        <f t="shared" si="57"/>
        <v>4759253284.624259</v>
      </c>
      <c r="AX50" s="376">
        <f t="shared" si="57"/>
        <v>5162434098.0424719</v>
      </c>
      <c r="AY50" s="376">
        <f t="shared" si="57"/>
        <v>5172685597.3599186</v>
      </c>
      <c r="AZ50" s="376">
        <f t="shared" si="57"/>
        <v>5294408779.2394199</v>
      </c>
      <c r="BA50" s="376">
        <f t="shared" si="57"/>
        <v>5385023207.8226042</v>
      </c>
      <c r="BB50" s="376">
        <f t="shared" si="57"/>
        <v>5722148049.1834803</v>
      </c>
      <c r="BC50" s="376">
        <f t="shared" si="57"/>
        <v>5922224327.4667253</v>
      </c>
      <c r="BD50" s="376">
        <f t="shared" si="57"/>
        <v>5031125419.8981066</v>
      </c>
      <c r="BE50" s="376">
        <f t="shared" si="57"/>
        <v>4946628720.0969753</v>
      </c>
      <c r="BF50" s="376">
        <f t="shared" si="57"/>
        <v>4743236790.7403812</v>
      </c>
      <c r="BG50" s="376">
        <f t="shared" si="57"/>
        <v>4824937535.4449215</v>
      </c>
      <c r="BH50" s="376">
        <f t="shared" si="57"/>
        <v>4892122173.6849194</v>
      </c>
      <c r="BI50" s="376">
        <f t="shared" si="57"/>
        <v>5073386781.8131275</v>
      </c>
      <c r="BJ50" s="376">
        <f t="shared" si="57"/>
        <v>4962772252.3394651</v>
      </c>
      <c r="BK50" s="376">
        <f t="shared" si="57"/>
        <v>4528046636.3823776</v>
      </c>
      <c r="BL50" s="376">
        <f t="shared" si="57"/>
        <v>4489299010.4602146</v>
      </c>
      <c r="BM50" s="376">
        <f t="shared" si="57"/>
        <v>4408773367.4665565</v>
      </c>
      <c r="BN50" s="376">
        <f t="shared" si="57"/>
        <v>4515268471.879817</v>
      </c>
      <c r="BO50" s="376">
        <f t="shared" si="57"/>
        <v>4591647704.2065983</v>
      </c>
      <c r="BP50" s="376">
        <f t="shared" si="57"/>
        <v>4790229636.5082169</v>
      </c>
      <c r="BQ50" s="376">
        <f t="shared" si="57"/>
        <v>4857670363.1274757</v>
      </c>
      <c r="BR50" s="376">
        <f t="shared" si="57"/>
        <v>4934167488.2605114</v>
      </c>
      <c r="BS50" s="376">
        <f t="shared" ref="BS50:CL50" si="58">BS46*$CO$4+BS47*$CP$4+BS48*$CQ$4+BS49*$CR$4</f>
        <v>4586277185.8268204</v>
      </c>
      <c r="BT50" s="376">
        <f t="shared" si="58"/>
        <v>3824730042.5156465</v>
      </c>
      <c r="BU50" s="376">
        <f t="shared" si="58"/>
        <v>2796750166.2238436</v>
      </c>
      <c r="BV50" s="376">
        <f t="shared" si="58"/>
        <v>3331656699.0784039</v>
      </c>
      <c r="BW50" s="376">
        <f t="shared" si="58"/>
        <v>3890944393.8279781</v>
      </c>
      <c r="BX50" s="376">
        <f t="shared" si="58"/>
        <v>3975801978.7078028</v>
      </c>
      <c r="BY50" s="376">
        <f t="shared" si="58"/>
        <v>4021209908.5318851</v>
      </c>
      <c r="BZ50" s="376">
        <f t="shared" si="58"/>
        <v>4139312155.1776147</v>
      </c>
      <c r="CA50" s="376">
        <f t="shared" si="58"/>
        <v>3949690044.1218648</v>
      </c>
      <c r="CB50" s="376">
        <f t="shared" si="58"/>
        <v>4204333298.0738192</v>
      </c>
      <c r="CC50" s="376">
        <f t="shared" si="58"/>
        <v>4412452112.5249949</v>
      </c>
      <c r="CD50" s="376">
        <f t="shared" si="58"/>
        <v>4722022177.9764442</v>
      </c>
      <c r="CE50" s="376">
        <f t="shared" si="58"/>
        <v>5059048905.6492748</v>
      </c>
      <c r="CF50" s="376">
        <f t="shared" si="58"/>
        <v>5177603109.1109295</v>
      </c>
      <c r="CG50" s="376">
        <f t="shared" si="58"/>
        <v>5034387595.2482033</v>
      </c>
      <c r="CH50" s="376">
        <f t="shared" si="58"/>
        <v>5053777088.1632776</v>
      </c>
      <c r="CI50" s="376">
        <f t="shared" si="58"/>
        <v>5348765929.0040646</v>
      </c>
      <c r="CJ50" s="376">
        <f t="shared" si="58"/>
        <v>5821379960.0221691</v>
      </c>
      <c r="CK50" s="376">
        <f t="shared" si="58"/>
        <v>5771742626.303916</v>
      </c>
      <c r="CL50" s="382">
        <f t="shared" si="58"/>
        <v>5980092819.9324665</v>
      </c>
      <c r="CM50" s="319">
        <f t="shared" si="27"/>
        <v>4538518658.9910021</v>
      </c>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row>
    <row r="51" spans="1:178">
      <c r="A51" s="463" t="s">
        <v>332</v>
      </c>
      <c r="B51" s="52" t="s">
        <v>309</v>
      </c>
      <c r="C51" s="362" t="s">
        <v>323</v>
      </c>
      <c r="D51" s="362"/>
      <c r="E51" s="58"/>
      <c r="F51" s="382" t="s">
        <v>333</v>
      </c>
      <c r="G51" s="464">
        <f t="shared" ref="G51:BR51" si="59">$CO$5*G46+G47*$CP$5+G48*$CQ$5+G49*$CR$5</f>
        <v>2240213598.8195629</v>
      </c>
      <c r="H51" s="464">
        <f t="shared" si="59"/>
        <v>1970604078.4384861</v>
      </c>
      <c r="I51" s="464">
        <f t="shared" si="59"/>
        <v>1641696382.1226287</v>
      </c>
      <c r="J51" s="464">
        <f t="shared" si="59"/>
        <v>1295515447.1586647</v>
      </c>
      <c r="K51" s="464">
        <f t="shared" si="59"/>
        <v>1558881761.601949</v>
      </c>
      <c r="L51" s="464">
        <f t="shared" si="59"/>
        <v>1575361517.1421461</v>
      </c>
      <c r="M51" s="464">
        <f t="shared" si="59"/>
        <v>1625291751.9623461</v>
      </c>
      <c r="N51" s="464">
        <f t="shared" si="59"/>
        <v>1716387803.4835413</v>
      </c>
      <c r="O51" s="464">
        <f t="shared" si="59"/>
        <v>1639611153.8446584</v>
      </c>
      <c r="P51" s="464">
        <f t="shared" si="59"/>
        <v>1449054336.1292887</v>
      </c>
      <c r="Q51" s="464">
        <f t="shared" si="59"/>
        <v>1311510509.9106281</v>
      </c>
      <c r="R51" s="464">
        <f t="shared" si="59"/>
        <v>1337961660.9780169</v>
      </c>
      <c r="S51" s="464">
        <f t="shared" si="59"/>
        <v>1399926323.9585843</v>
      </c>
      <c r="T51" s="464">
        <f t="shared" si="59"/>
        <v>1453427168.1567049</v>
      </c>
      <c r="U51" s="464">
        <f t="shared" si="59"/>
        <v>1415635890.6391978</v>
      </c>
      <c r="V51" s="464">
        <f t="shared" si="59"/>
        <v>1146895878.978092</v>
      </c>
      <c r="W51" s="464">
        <f t="shared" si="59"/>
        <v>1055389450.2016366</v>
      </c>
      <c r="X51" s="464">
        <f t="shared" si="59"/>
        <v>1149604095.4201374</v>
      </c>
      <c r="Y51" s="464">
        <f t="shared" si="59"/>
        <v>1249150091.1604052</v>
      </c>
      <c r="Z51" s="464">
        <f t="shared" si="59"/>
        <v>1312986704.3067193</v>
      </c>
      <c r="AA51" s="464">
        <f t="shared" si="59"/>
        <v>1348181222.5654142</v>
      </c>
      <c r="AB51" s="464">
        <f t="shared" si="59"/>
        <v>1220961286.1156178</v>
      </c>
      <c r="AC51" s="464">
        <f t="shared" si="59"/>
        <v>1167243651.2740874</v>
      </c>
      <c r="AD51" s="464">
        <f t="shared" si="59"/>
        <v>1242807305.1161532</v>
      </c>
      <c r="AE51" s="464">
        <f t="shared" si="59"/>
        <v>1396102359.0617821</v>
      </c>
      <c r="AF51" s="464">
        <f t="shared" si="59"/>
        <v>1443763938.1308975</v>
      </c>
      <c r="AG51" s="464">
        <f t="shared" si="59"/>
        <v>1541677649.823061</v>
      </c>
      <c r="AH51" s="464">
        <f t="shared" si="59"/>
        <v>1688862086.277621</v>
      </c>
      <c r="AI51" s="464">
        <f t="shared" si="59"/>
        <v>1749415679.9973543</v>
      </c>
      <c r="AJ51" s="464">
        <f t="shared" si="59"/>
        <v>1577477362.818527</v>
      </c>
      <c r="AK51" s="464">
        <f t="shared" si="59"/>
        <v>1521293981.6537142</v>
      </c>
      <c r="AL51" s="464">
        <f t="shared" si="59"/>
        <v>1389489307.7212374</v>
      </c>
      <c r="AM51" s="464">
        <f t="shared" si="59"/>
        <v>1309972040.0079265</v>
      </c>
      <c r="AN51" s="464">
        <f t="shared" si="59"/>
        <v>1305379691.5646212</v>
      </c>
      <c r="AO51" s="464">
        <f t="shared" si="59"/>
        <v>1458983744.2112398</v>
      </c>
      <c r="AP51" s="464">
        <f t="shared" si="59"/>
        <v>1615055235.5374532</v>
      </c>
      <c r="AQ51" s="464">
        <f t="shared" si="59"/>
        <v>1753313823.4561191</v>
      </c>
      <c r="AR51" s="464">
        <f t="shared" si="59"/>
        <v>1894029050.8965011</v>
      </c>
      <c r="AS51" s="464">
        <f t="shared" si="59"/>
        <v>1886543808.6307492</v>
      </c>
      <c r="AT51" s="464">
        <f t="shared" si="59"/>
        <v>1906319920.0159845</v>
      </c>
      <c r="AU51" s="376">
        <f t="shared" si="59"/>
        <v>1774461892.4547231</v>
      </c>
      <c r="AV51" s="376">
        <f t="shared" si="59"/>
        <v>1781563202.8255856</v>
      </c>
      <c r="AW51" s="376">
        <f t="shared" si="59"/>
        <v>1883678489.0052834</v>
      </c>
      <c r="AX51" s="376">
        <f t="shared" si="59"/>
        <v>2126282321.97961</v>
      </c>
      <c r="AY51" s="376">
        <f t="shared" si="59"/>
        <v>2106164984.1621027</v>
      </c>
      <c r="AZ51" s="376">
        <f t="shared" si="59"/>
        <v>2166688444.1676841</v>
      </c>
      <c r="BA51" s="376">
        <f t="shared" si="59"/>
        <v>2226435966.4075375</v>
      </c>
      <c r="BB51" s="376">
        <f t="shared" si="59"/>
        <v>2411509750.1849709</v>
      </c>
      <c r="BC51" s="376">
        <f t="shared" si="59"/>
        <v>2474183242.7891865</v>
      </c>
      <c r="BD51" s="376">
        <f t="shared" si="59"/>
        <v>1866942773.4335532</v>
      </c>
      <c r="BE51" s="376">
        <f t="shared" si="59"/>
        <v>1623798010.1052799</v>
      </c>
      <c r="BF51" s="376">
        <f t="shared" si="59"/>
        <v>1619905438.273211</v>
      </c>
      <c r="BG51" s="376">
        <f t="shared" si="59"/>
        <v>1771973141.7476237</v>
      </c>
      <c r="BH51" s="376">
        <f t="shared" si="59"/>
        <v>1858763006.5720139</v>
      </c>
      <c r="BI51" s="376">
        <f t="shared" si="59"/>
        <v>1965064904.3055115</v>
      </c>
      <c r="BJ51" s="376">
        <f t="shared" si="59"/>
        <v>1894814470.0918374</v>
      </c>
      <c r="BK51" s="376">
        <f t="shared" si="59"/>
        <v>1598997381.1440639</v>
      </c>
      <c r="BL51" s="376">
        <f t="shared" si="59"/>
        <v>1633760820.8748655</v>
      </c>
      <c r="BM51" s="376">
        <f t="shared" si="59"/>
        <v>1556527422.1588588</v>
      </c>
      <c r="BN51" s="376">
        <f t="shared" si="59"/>
        <v>1626848852.4281032</v>
      </c>
      <c r="BO51" s="376">
        <f t="shared" si="59"/>
        <v>1700206526.7163949</v>
      </c>
      <c r="BP51" s="376">
        <f t="shared" si="59"/>
        <v>1805400241.2268772</v>
      </c>
      <c r="BQ51" s="376">
        <f t="shared" si="59"/>
        <v>1877063175.3653667</v>
      </c>
      <c r="BR51" s="376">
        <f t="shared" si="59"/>
        <v>1951869841.2728965</v>
      </c>
      <c r="BS51" s="376">
        <f t="shared" ref="BS51:CL51" si="60">$CO$5*BS46+BS47*$CP$5+BS48*$CQ$5+BS49*$CR$5</f>
        <v>1740399253.3131249</v>
      </c>
      <c r="BT51" s="376">
        <f t="shared" si="60"/>
        <v>1158601390.7032928</v>
      </c>
      <c r="BU51" s="376">
        <f t="shared" si="60"/>
        <v>572483510.24769628</v>
      </c>
      <c r="BV51" s="376">
        <f t="shared" si="60"/>
        <v>919251977.50791335</v>
      </c>
      <c r="BW51" s="376">
        <f t="shared" si="60"/>
        <v>1335408888.2332001</v>
      </c>
      <c r="BX51" s="376">
        <f t="shared" si="60"/>
        <v>1439300635.3227305</v>
      </c>
      <c r="BY51" s="376">
        <f t="shared" si="60"/>
        <v>1427946420.7458858</v>
      </c>
      <c r="BZ51" s="376">
        <f t="shared" si="60"/>
        <v>1419330696.875668</v>
      </c>
      <c r="CA51" s="376">
        <f t="shared" si="60"/>
        <v>1420493445.8958168</v>
      </c>
      <c r="CB51" s="376">
        <f t="shared" si="60"/>
        <v>1456612096.4923191</v>
      </c>
      <c r="CC51" s="376">
        <f t="shared" si="60"/>
        <v>1627763053.9469752</v>
      </c>
      <c r="CD51" s="376">
        <f t="shared" si="60"/>
        <v>1901928939.7062495</v>
      </c>
      <c r="CE51" s="376">
        <f t="shared" si="60"/>
        <v>2092494085.413192</v>
      </c>
      <c r="CF51" s="376">
        <f t="shared" si="60"/>
        <v>2165520149.1381912</v>
      </c>
      <c r="CG51" s="376">
        <f t="shared" si="60"/>
        <v>2085337562.9779186</v>
      </c>
      <c r="CH51" s="376">
        <f t="shared" si="60"/>
        <v>2089880270.1182818</v>
      </c>
      <c r="CI51" s="376">
        <f t="shared" si="60"/>
        <v>2270658342.7285886</v>
      </c>
      <c r="CJ51" s="376">
        <f t="shared" si="60"/>
        <v>2493293305.4422827</v>
      </c>
      <c r="CK51" s="376">
        <f t="shared" si="60"/>
        <v>2396758839.776165</v>
      </c>
      <c r="CL51" s="382">
        <f t="shared" si="60"/>
        <v>2501309303.2725639</v>
      </c>
      <c r="CM51" s="319">
        <f t="shared" si="27"/>
        <v>1664043514.4861979</v>
      </c>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row>
    <row r="52" spans="1:178" s="314" customFormat="1">
      <c r="A52" s="463" t="s">
        <v>334</v>
      </c>
      <c r="B52" s="52" t="s">
        <v>309</v>
      </c>
      <c r="C52" s="463"/>
      <c r="D52" s="463"/>
      <c r="E52" s="17"/>
      <c r="F52" s="382" t="s">
        <v>335</v>
      </c>
      <c r="G52" s="465">
        <f>G50/(G2*G12+G13*G3+G4*G14+G15*G5)</f>
        <v>0.71351217851702742</v>
      </c>
      <c r="H52" s="465">
        <f t="shared" ref="H52:BS52" si="61">H50/(H2*H12+H13*H3+H4*H14+H15*H5)</f>
        <v>0.72772084412135574</v>
      </c>
      <c r="I52" s="465">
        <f t="shared" si="61"/>
        <v>0.75016096966026968</v>
      </c>
      <c r="J52" s="465">
        <f t="shared" si="61"/>
        <v>0.76490910343841889</v>
      </c>
      <c r="K52" s="465">
        <f t="shared" si="61"/>
        <v>0.74383198637225068</v>
      </c>
      <c r="L52" s="465">
        <f t="shared" si="61"/>
        <v>0.74405735040286036</v>
      </c>
      <c r="M52" s="465">
        <f t="shared" si="61"/>
        <v>0.73864889126004818</v>
      </c>
      <c r="N52" s="465">
        <f t="shared" si="61"/>
        <v>0.73405363397564516</v>
      </c>
      <c r="O52" s="465">
        <f t="shared" si="61"/>
        <v>0.7377564091592258</v>
      </c>
      <c r="P52" s="465">
        <f t="shared" si="61"/>
        <v>0.74949480067804608</v>
      </c>
      <c r="Q52" s="465">
        <f t="shared" si="61"/>
        <v>0.76204300264707336</v>
      </c>
      <c r="R52" s="465">
        <f t="shared" si="61"/>
        <v>0.75884369089383552</v>
      </c>
      <c r="S52" s="465">
        <f t="shared" si="61"/>
        <v>0.75274402289997544</v>
      </c>
      <c r="T52" s="465">
        <f t="shared" si="61"/>
        <v>0.74646541546851042</v>
      </c>
      <c r="U52" s="465">
        <f t="shared" si="61"/>
        <v>0.74592139987146677</v>
      </c>
      <c r="V52" s="465">
        <f t="shared" si="61"/>
        <v>0.76832410405380647</v>
      </c>
      <c r="W52" s="465">
        <f t="shared" si="61"/>
        <v>0.77565659200670145</v>
      </c>
      <c r="X52" s="465">
        <f t="shared" si="61"/>
        <v>0.76081105848190489</v>
      </c>
      <c r="Y52" s="465">
        <f t="shared" si="61"/>
        <v>0.7484984711795476</v>
      </c>
      <c r="Z52" s="465">
        <f t="shared" si="61"/>
        <v>0.74483218419551722</v>
      </c>
      <c r="AA52" s="465">
        <f t="shared" si="61"/>
        <v>0.74228020718773235</v>
      </c>
      <c r="AB52" s="465">
        <f t="shared" si="61"/>
        <v>0.76004830738198093</v>
      </c>
      <c r="AC52" s="465">
        <f t="shared" si="61"/>
        <v>0.76243271534375678</v>
      </c>
      <c r="AD52" s="465">
        <f t="shared" si="61"/>
        <v>0.75745654342332114</v>
      </c>
      <c r="AE52" s="465">
        <f t="shared" si="61"/>
        <v>0.74289972915546887</v>
      </c>
      <c r="AF52" s="465">
        <f t="shared" si="61"/>
        <v>0.73999004606668062</v>
      </c>
      <c r="AG52" s="465">
        <f t="shared" si="61"/>
        <v>0.73704252777379586</v>
      </c>
      <c r="AH52" s="465">
        <f t="shared" si="61"/>
        <v>0.73449943765770909</v>
      </c>
      <c r="AI52" s="465">
        <f t="shared" si="61"/>
        <v>0.72651071527793287</v>
      </c>
      <c r="AJ52" s="465">
        <f t="shared" si="61"/>
        <v>0.72854093204896764</v>
      </c>
      <c r="AK52" s="465">
        <f t="shared" si="61"/>
        <v>0.73453370021089803</v>
      </c>
      <c r="AL52" s="465">
        <f t="shared" si="61"/>
        <v>0.7427366732056262</v>
      </c>
      <c r="AM52" s="465">
        <f t="shared" si="61"/>
        <v>0.74949866927376507</v>
      </c>
      <c r="AN52" s="465">
        <f t="shared" si="61"/>
        <v>0.74767735982299011</v>
      </c>
      <c r="AO52" s="465">
        <f t="shared" si="61"/>
        <v>0.73643408733895199</v>
      </c>
      <c r="AP52" s="465">
        <f t="shared" si="61"/>
        <v>0.72768068641823203</v>
      </c>
      <c r="AQ52" s="465">
        <f t="shared" si="61"/>
        <v>0.72426870345063765</v>
      </c>
      <c r="AR52" s="465">
        <f t="shared" si="61"/>
        <v>0.71522190758831827</v>
      </c>
      <c r="AS52" s="465">
        <f t="shared" si="61"/>
        <v>0.71721269297702483</v>
      </c>
      <c r="AT52" s="465">
        <f t="shared" si="61"/>
        <v>0.71353382682206778</v>
      </c>
      <c r="AU52" s="466">
        <f t="shared" si="61"/>
        <v>0.72717306599187648</v>
      </c>
      <c r="AV52" s="466">
        <f t="shared" si="61"/>
        <v>0.71918874882918027</v>
      </c>
      <c r="AW52" s="466">
        <f t="shared" si="61"/>
        <v>0.71643868201643657</v>
      </c>
      <c r="AX52" s="466">
        <f t="shared" si="61"/>
        <v>0.70827753482921652</v>
      </c>
      <c r="AY52" s="466">
        <f t="shared" si="61"/>
        <v>0.71064593776539664</v>
      </c>
      <c r="AZ52" s="466">
        <f t="shared" si="61"/>
        <v>0.70960190179933513</v>
      </c>
      <c r="BA52" s="466">
        <f t="shared" si="61"/>
        <v>0.70748894325735778</v>
      </c>
      <c r="BB52" s="466">
        <f t="shared" si="61"/>
        <v>0.70351472736261211</v>
      </c>
      <c r="BC52" s="466">
        <f t="shared" si="61"/>
        <v>0.70532835357422075</v>
      </c>
      <c r="BD52" s="466">
        <f t="shared" si="61"/>
        <v>0.72935280993042073</v>
      </c>
      <c r="BE52" s="466">
        <f t="shared" si="61"/>
        <v>0.75286262570417639</v>
      </c>
      <c r="BF52" s="466">
        <f t="shared" si="61"/>
        <v>0.74542366334559718</v>
      </c>
      <c r="BG52" s="466">
        <f t="shared" si="61"/>
        <v>0.73139349182430891</v>
      </c>
      <c r="BH52" s="466">
        <f t="shared" si="61"/>
        <v>0.72466380971668798</v>
      </c>
      <c r="BI52" s="466">
        <f t="shared" si="61"/>
        <v>0.72081005994812075</v>
      </c>
      <c r="BJ52" s="466">
        <f t="shared" si="61"/>
        <v>0.72369077537235338</v>
      </c>
      <c r="BK52" s="466">
        <f t="shared" si="61"/>
        <v>0.73902629447901413</v>
      </c>
      <c r="BL52" s="466">
        <f t="shared" si="61"/>
        <v>0.73317902064030016</v>
      </c>
      <c r="BM52" s="466">
        <f t="shared" si="61"/>
        <v>0.73906975070462466</v>
      </c>
      <c r="BN52" s="466">
        <f t="shared" si="61"/>
        <v>0.73513224080078721</v>
      </c>
      <c r="BO52" s="466">
        <f t="shared" si="61"/>
        <v>0.72977655484129356</v>
      </c>
      <c r="BP52" s="466">
        <f t="shared" si="61"/>
        <v>0.7262732635557102</v>
      </c>
      <c r="BQ52" s="466">
        <f t="shared" si="61"/>
        <v>0.72128620016859168</v>
      </c>
      <c r="BR52" s="466">
        <f t="shared" si="61"/>
        <v>0.71654672377369255</v>
      </c>
      <c r="BS52" s="466">
        <f t="shared" si="61"/>
        <v>0.72491097497160495</v>
      </c>
      <c r="BT52" s="466">
        <f t="shared" ref="BT52:CL52" si="62">BT50/(BT2*BT12+BT13*BT3+BT4*BT14+BT15*BT5)</f>
        <v>0.76750464900246373</v>
      </c>
      <c r="BU52" s="466">
        <f t="shared" si="62"/>
        <v>0.83008494951076384</v>
      </c>
      <c r="BV52" s="466">
        <f t="shared" si="62"/>
        <v>0.78375165230646249</v>
      </c>
      <c r="BW52" s="466">
        <f t="shared" si="62"/>
        <v>0.74448553012732055</v>
      </c>
      <c r="BX52" s="466">
        <f t="shared" si="62"/>
        <v>0.7342062121605043</v>
      </c>
      <c r="BY52" s="466">
        <f t="shared" si="62"/>
        <v>0.73795091671830504</v>
      </c>
      <c r="BZ52" s="466">
        <f t="shared" si="62"/>
        <v>0.74466236909763173</v>
      </c>
      <c r="CA52" s="466">
        <f t="shared" si="62"/>
        <v>0.73548511917026893</v>
      </c>
      <c r="CB52" s="466">
        <f t="shared" si="62"/>
        <v>0.74269101802492188</v>
      </c>
      <c r="CC52" s="466">
        <f t="shared" si="62"/>
        <v>0.73051240575296672</v>
      </c>
      <c r="CD52" s="466">
        <f t="shared" si="62"/>
        <v>0.71287092765086479</v>
      </c>
      <c r="CE52" s="466">
        <f t="shared" si="62"/>
        <v>0.70740662706939539</v>
      </c>
      <c r="CF52" s="466">
        <f t="shared" si="62"/>
        <v>0.70509549234305879</v>
      </c>
      <c r="CG52" s="466">
        <f t="shared" si="62"/>
        <v>0.70710420463793855</v>
      </c>
      <c r="CH52" s="466">
        <f t="shared" si="62"/>
        <v>0.70744953665848664</v>
      </c>
      <c r="CI52" s="466">
        <f t="shared" si="62"/>
        <v>0.70199082479859842</v>
      </c>
      <c r="CJ52" s="466">
        <f t="shared" si="62"/>
        <v>0.70013333947849254</v>
      </c>
      <c r="CK52" s="466">
        <f t="shared" si="62"/>
        <v>0.70658524703352643</v>
      </c>
      <c r="CL52" s="467">
        <f t="shared" si="62"/>
        <v>0.70508304323538595</v>
      </c>
      <c r="CM52" s="468">
        <f t="shared" si="27"/>
        <v>0.73470114044868584</v>
      </c>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row>
    <row r="53" spans="1:178">
      <c r="A53" s="463" t="s">
        <v>334</v>
      </c>
      <c r="B53" s="52" t="s">
        <v>309</v>
      </c>
      <c r="C53" s="362"/>
      <c r="D53" s="362"/>
      <c r="E53" s="58"/>
      <c r="F53" s="382" t="s">
        <v>336</v>
      </c>
      <c r="G53" s="465">
        <f t="shared" ref="G53:BR53" si="63">G51/(G2*G12+G13*G3+G4*G14+G15*G5)</f>
        <v>0.28648782148297264</v>
      </c>
      <c r="H53" s="465">
        <f t="shared" si="63"/>
        <v>0.27227915587864421</v>
      </c>
      <c r="I53" s="465">
        <f t="shared" si="63"/>
        <v>0.24983903033973037</v>
      </c>
      <c r="J53" s="465">
        <f t="shared" si="63"/>
        <v>0.23509089656158114</v>
      </c>
      <c r="K53" s="465">
        <f t="shared" si="63"/>
        <v>0.25616801362774921</v>
      </c>
      <c r="L53" s="465">
        <f t="shared" si="63"/>
        <v>0.25594264959713947</v>
      </c>
      <c r="M53" s="465">
        <f t="shared" si="63"/>
        <v>0.26135110873995182</v>
      </c>
      <c r="N53" s="465">
        <f t="shared" si="63"/>
        <v>0.2659463660243549</v>
      </c>
      <c r="O53" s="465">
        <f t="shared" si="63"/>
        <v>0.26224359084077425</v>
      </c>
      <c r="P53" s="465">
        <f t="shared" si="63"/>
        <v>0.25050519932195375</v>
      </c>
      <c r="Q53" s="465">
        <f t="shared" si="63"/>
        <v>0.23795699735292652</v>
      </c>
      <c r="R53" s="465">
        <f t="shared" si="63"/>
        <v>0.24115630910616442</v>
      </c>
      <c r="S53" s="465">
        <f t="shared" si="63"/>
        <v>0.2472559771000245</v>
      </c>
      <c r="T53" s="465">
        <f t="shared" si="63"/>
        <v>0.25353458453148958</v>
      </c>
      <c r="U53" s="465">
        <f t="shared" si="63"/>
        <v>0.25407860012853334</v>
      </c>
      <c r="V53" s="465">
        <f t="shared" si="63"/>
        <v>0.23167589594619359</v>
      </c>
      <c r="W53" s="465">
        <f t="shared" si="63"/>
        <v>0.22434340799329835</v>
      </c>
      <c r="X53" s="465">
        <f t="shared" si="63"/>
        <v>0.239188941518095</v>
      </c>
      <c r="Y53" s="465">
        <f t="shared" si="63"/>
        <v>0.25150152882045251</v>
      </c>
      <c r="Z53" s="465">
        <f t="shared" si="63"/>
        <v>0.25516781580448283</v>
      </c>
      <c r="AA53" s="465">
        <f t="shared" si="63"/>
        <v>0.25771979281226759</v>
      </c>
      <c r="AB53" s="465">
        <f t="shared" si="63"/>
        <v>0.23995169261801905</v>
      </c>
      <c r="AC53" s="465">
        <f t="shared" si="63"/>
        <v>0.23756728465624308</v>
      </c>
      <c r="AD53" s="465">
        <f t="shared" si="63"/>
        <v>0.24254345657667892</v>
      </c>
      <c r="AE53" s="465">
        <f t="shared" si="63"/>
        <v>0.25710027084453124</v>
      </c>
      <c r="AF53" s="465">
        <f t="shared" si="63"/>
        <v>0.26000995393331944</v>
      </c>
      <c r="AG53" s="465">
        <f t="shared" si="63"/>
        <v>0.26295747222620414</v>
      </c>
      <c r="AH53" s="465">
        <f t="shared" si="63"/>
        <v>0.26550056234229091</v>
      </c>
      <c r="AI53" s="465">
        <f t="shared" si="63"/>
        <v>0.27348928472206707</v>
      </c>
      <c r="AJ53" s="465">
        <f t="shared" si="63"/>
        <v>0.2714590679510322</v>
      </c>
      <c r="AK53" s="465">
        <f t="shared" si="63"/>
        <v>0.26546629978910197</v>
      </c>
      <c r="AL53" s="465">
        <f t="shared" si="63"/>
        <v>0.25726332679437369</v>
      </c>
      <c r="AM53" s="465">
        <f t="shared" si="63"/>
        <v>0.25050133072623504</v>
      </c>
      <c r="AN53" s="465">
        <f t="shared" si="63"/>
        <v>0.25232264017700989</v>
      </c>
      <c r="AO53" s="465">
        <f t="shared" si="63"/>
        <v>0.26356591266104806</v>
      </c>
      <c r="AP53" s="465">
        <f t="shared" si="63"/>
        <v>0.27231931358176809</v>
      </c>
      <c r="AQ53" s="465">
        <f t="shared" si="63"/>
        <v>0.27573129654936229</v>
      </c>
      <c r="AR53" s="465">
        <f t="shared" si="63"/>
        <v>0.28477809241168167</v>
      </c>
      <c r="AS53" s="465">
        <f t="shared" si="63"/>
        <v>0.28278730702297528</v>
      </c>
      <c r="AT53" s="465">
        <f t="shared" si="63"/>
        <v>0.28646617317793216</v>
      </c>
      <c r="AU53" s="466">
        <f t="shared" si="63"/>
        <v>0.27282693400812347</v>
      </c>
      <c r="AV53" s="466">
        <f t="shared" si="63"/>
        <v>0.28081125117081973</v>
      </c>
      <c r="AW53" s="466">
        <f t="shared" si="63"/>
        <v>0.28356131798356338</v>
      </c>
      <c r="AX53" s="466">
        <f t="shared" si="63"/>
        <v>0.2917224651707836</v>
      </c>
      <c r="AY53" s="466">
        <f t="shared" si="63"/>
        <v>0.28935406223460353</v>
      </c>
      <c r="AZ53" s="466">
        <f t="shared" si="63"/>
        <v>0.29039809820066481</v>
      </c>
      <c r="BA53" s="466">
        <f t="shared" si="63"/>
        <v>0.29251105674264222</v>
      </c>
      <c r="BB53" s="466">
        <f t="shared" si="63"/>
        <v>0.29648527263738778</v>
      </c>
      <c r="BC53" s="466">
        <f t="shared" si="63"/>
        <v>0.29467164642577925</v>
      </c>
      <c r="BD53" s="466">
        <f t="shared" si="63"/>
        <v>0.27064719006957932</v>
      </c>
      <c r="BE53" s="466">
        <f t="shared" si="63"/>
        <v>0.24713737429582375</v>
      </c>
      <c r="BF53" s="466">
        <f t="shared" si="63"/>
        <v>0.25457633665440271</v>
      </c>
      <c r="BG53" s="466">
        <f t="shared" si="63"/>
        <v>0.26860650817569115</v>
      </c>
      <c r="BH53" s="466">
        <f t="shared" si="63"/>
        <v>0.27533619028331197</v>
      </c>
      <c r="BI53" s="466">
        <f t="shared" si="63"/>
        <v>0.2791899400518793</v>
      </c>
      <c r="BJ53" s="466">
        <f t="shared" si="63"/>
        <v>0.27630922462764657</v>
      </c>
      <c r="BK53" s="466">
        <f t="shared" si="63"/>
        <v>0.26097370552098592</v>
      </c>
      <c r="BL53" s="466">
        <f t="shared" si="63"/>
        <v>0.26682097935970001</v>
      </c>
      <c r="BM53" s="466">
        <f t="shared" si="63"/>
        <v>0.26093024929537528</v>
      </c>
      <c r="BN53" s="466">
        <f t="shared" si="63"/>
        <v>0.26486775919921274</v>
      </c>
      <c r="BO53" s="466">
        <f t="shared" si="63"/>
        <v>0.2702234451587065</v>
      </c>
      <c r="BP53" s="466">
        <f t="shared" si="63"/>
        <v>0.27372673644428974</v>
      </c>
      <c r="BQ53" s="466">
        <f t="shared" si="63"/>
        <v>0.27871379983140843</v>
      </c>
      <c r="BR53" s="466">
        <f t="shared" si="63"/>
        <v>0.28345327622630723</v>
      </c>
      <c r="BS53" s="466">
        <f t="shared" ref="BS53:CL53" si="64">BS51/(BS2*BS12+BS13*BS3+BS4*BS14+BS15*BS5)</f>
        <v>0.27508902502839488</v>
      </c>
      <c r="BT53" s="466">
        <f t="shared" si="64"/>
        <v>0.23249535099753632</v>
      </c>
      <c r="BU53" s="466">
        <f t="shared" si="64"/>
        <v>0.16991505048923611</v>
      </c>
      <c r="BV53" s="466">
        <f t="shared" si="64"/>
        <v>0.21624834769353751</v>
      </c>
      <c r="BW53" s="466">
        <f t="shared" si="64"/>
        <v>0.2555144698726794</v>
      </c>
      <c r="BX53" s="466">
        <f t="shared" si="64"/>
        <v>0.26579378783949581</v>
      </c>
      <c r="BY53" s="466">
        <f t="shared" si="64"/>
        <v>0.26204908328169496</v>
      </c>
      <c r="BZ53" s="466">
        <f t="shared" si="64"/>
        <v>0.25533763090236811</v>
      </c>
      <c r="CA53" s="466">
        <f t="shared" si="64"/>
        <v>0.26451488082973118</v>
      </c>
      <c r="CB53" s="466">
        <f t="shared" si="64"/>
        <v>0.2573089819750779</v>
      </c>
      <c r="CC53" s="466">
        <f t="shared" si="64"/>
        <v>0.26948759424703339</v>
      </c>
      <c r="CD53" s="466">
        <f t="shared" si="64"/>
        <v>0.28712907234913526</v>
      </c>
      <c r="CE53" s="466">
        <f t="shared" si="64"/>
        <v>0.29259337293060461</v>
      </c>
      <c r="CF53" s="466">
        <f t="shared" si="64"/>
        <v>0.29490450765694126</v>
      </c>
      <c r="CG53" s="466">
        <f t="shared" si="64"/>
        <v>0.29289579536206145</v>
      </c>
      <c r="CH53" s="466">
        <f t="shared" si="64"/>
        <v>0.29255046334151341</v>
      </c>
      <c r="CI53" s="466">
        <f t="shared" si="64"/>
        <v>0.29800917520140169</v>
      </c>
      <c r="CJ53" s="466">
        <f t="shared" si="64"/>
        <v>0.29986666052150746</v>
      </c>
      <c r="CK53" s="466">
        <f t="shared" si="64"/>
        <v>0.29341475296647374</v>
      </c>
      <c r="CL53" s="467">
        <f t="shared" si="64"/>
        <v>0.29491695676461405</v>
      </c>
      <c r="CM53" s="469">
        <f t="shared" si="27"/>
        <v>0.26529885955131394</v>
      </c>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c r="EU53" s="58"/>
      <c r="EV53" s="58"/>
      <c r="EW53" s="58"/>
      <c r="EX53" s="58"/>
      <c r="EY53" s="58"/>
      <c r="EZ53" s="58"/>
      <c r="FA53" s="58"/>
      <c r="FB53" s="58"/>
      <c r="FC53" s="58"/>
      <c r="FD53" s="58"/>
      <c r="FE53" s="58"/>
      <c r="FF53" s="58"/>
      <c r="FG53" s="58"/>
      <c r="FH53" s="58"/>
      <c r="FI53" s="58"/>
      <c r="FJ53" s="58"/>
      <c r="FK53" s="58"/>
      <c r="FL53" s="58"/>
      <c r="FM53" s="58"/>
      <c r="FN53" s="58"/>
      <c r="FO53" s="58"/>
      <c r="FP53" s="58"/>
      <c r="FQ53" s="58"/>
      <c r="FR53" s="58"/>
      <c r="FS53" s="58"/>
      <c r="FT53" s="58"/>
      <c r="FU53" s="58"/>
      <c r="FV53" s="58"/>
    </row>
    <row r="54" spans="1:178">
      <c r="A54" s="463" t="s">
        <v>337</v>
      </c>
      <c r="B54" s="52" t="s">
        <v>309</v>
      </c>
      <c r="C54" s="362" t="s">
        <v>323</v>
      </c>
      <c r="D54" s="362"/>
      <c r="E54" s="58"/>
      <c r="F54" s="382" t="s">
        <v>338</v>
      </c>
      <c r="G54" s="464">
        <f t="shared" ref="G54:BR54" si="65">G7*G18+G8*G19+G9*G20+G10*G21+G11*G22</f>
        <v>1591303203.7970729</v>
      </c>
      <c r="H54" s="464">
        <f t="shared" si="65"/>
        <v>1563335876.0920532</v>
      </c>
      <c r="I54" s="464">
        <f t="shared" si="65"/>
        <v>1571975608.3870342</v>
      </c>
      <c r="J54" s="464">
        <f t="shared" si="65"/>
        <v>1582358534.0153477</v>
      </c>
      <c r="K54" s="464">
        <f t="shared" si="65"/>
        <v>1560441265.3103287</v>
      </c>
      <c r="L54" s="464">
        <f t="shared" si="65"/>
        <v>1599586880.9386425</v>
      </c>
      <c r="M54" s="464">
        <f t="shared" si="65"/>
        <v>1570850191.9002905</v>
      </c>
      <c r="N54" s="464">
        <f t="shared" si="65"/>
        <v>1606205311.195271</v>
      </c>
      <c r="O54" s="464">
        <f t="shared" si="65"/>
        <v>1537063276.8235843</v>
      </c>
      <c r="P54" s="464">
        <f t="shared" si="65"/>
        <v>1572929572.7852321</v>
      </c>
      <c r="Q54" s="464">
        <f t="shared" si="65"/>
        <v>1534140068.7468791</v>
      </c>
      <c r="R54" s="464">
        <f t="shared" si="65"/>
        <v>1463300766.0418601</v>
      </c>
      <c r="S54" s="464">
        <f t="shared" si="65"/>
        <v>1478656341.4674935</v>
      </c>
      <c r="T54" s="464">
        <f t="shared" si="65"/>
        <v>1472798694.3204136</v>
      </c>
      <c r="U54" s="464">
        <f t="shared" si="65"/>
        <v>1391874164.9848003</v>
      </c>
      <c r="V54" s="464">
        <f t="shared" si="65"/>
        <v>1451389308.9982936</v>
      </c>
      <c r="W54" s="464">
        <f t="shared" si="65"/>
        <v>1339042376.6762538</v>
      </c>
      <c r="X54" s="464">
        <f t="shared" si="65"/>
        <v>1347433746.8625069</v>
      </c>
      <c r="Y54" s="464">
        <f t="shared" si="65"/>
        <v>1406723476.0487604</v>
      </c>
      <c r="Z54" s="464">
        <f t="shared" si="65"/>
        <v>1393783580.6944001</v>
      </c>
      <c r="AA54" s="464">
        <f t="shared" si="65"/>
        <v>1412617123.1350136</v>
      </c>
      <c r="AB54" s="464">
        <f t="shared" si="65"/>
        <v>1442969729.3212669</v>
      </c>
      <c r="AC54" s="464">
        <f t="shared" si="65"/>
        <v>1453305342.6575203</v>
      </c>
      <c r="AD54" s="464">
        <f t="shared" si="65"/>
        <v>1414608851.277307</v>
      </c>
      <c r="AE54" s="464">
        <f t="shared" si="65"/>
        <v>1420240466.4621737</v>
      </c>
      <c r="AF54" s="464">
        <f t="shared" si="65"/>
        <v>1414231756.9466934</v>
      </c>
      <c r="AG54" s="464">
        <f t="shared" si="65"/>
        <v>1457726068.832947</v>
      </c>
      <c r="AH54" s="464">
        <f t="shared" si="65"/>
        <v>1505582603.0708802</v>
      </c>
      <c r="AI54" s="464">
        <f t="shared" si="65"/>
        <v>1588354965.9610672</v>
      </c>
      <c r="AJ54" s="464">
        <f t="shared" si="65"/>
        <v>1554604670.6043873</v>
      </c>
      <c r="AK54" s="464">
        <f t="shared" si="65"/>
        <v>1638074756.8083737</v>
      </c>
      <c r="AL54" s="464">
        <f t="shared" si="65"/>
        <v>1602403163.0977871</v>
      </c>
      <c r="AM54" s="464">
        <f t="shared" si="65"/>
        <v>1572979489.8531604</v>
      </c>
      <c r="AN54" s="464">
        <f t="shared" si="65"/>
        <v>1597261954.2060804</v>
      </c>
      <c r="AO54" s="464">
        <f t="shared" si="65"/>
        <v>1543623855.3672669</v>
      </c>
      <c r="AP54" s="464">
        <f t="shared" si="65"/>
        <v>1542240732.5246935</v>
      </c>
      <c r="AQ54" s="464">
        <f t="shared" si="65"/>
        <v>1570808518.678587</v>
      </c>
      <c r="AR54" s="464">
        <f t="shared" si="65"/>
        <v>1503474752.1315072</v>
      </c>
      <c r="AS54" s="464">
        <f t="shared" si="65"/>
        <v>1581611678.0510938</v>
      </c>
      <c r="AT54" s="464">
        <f t="shared" si="65"/>
        <v>1613854652.6082671</v>
      </c>
      <c r="AU54" s="376">
        <f t="shared" si="65"/>
        <v>1724775354.4700537</v>
      </c>
      <c r="AV54" s="376">
        <f t="shared" si="65"/>
        <v>1776496912.3467202</v>
      </c>
      <c r="AW54" s="376">
        <f t="shared" si="65"/>
        <v>1806778454.488827</v>
      </c>
      <c r="AX54" s="376">
        <f t="shared" si="65"/>
        <v>1826215141.1960003</v>
      </c>
      <c r="AY54" s="376">
        <f t="shared" si="65"/>
        <v>2118804815.022347</v>
      </c>
      <c r="AZ54" s="376">
        <f t="shared" si="65"/>
        <v>2104227006.2637603</v>
      </c>
      <c r="BA54" s="376">
        <f t="shared" si="65"/>
        <v>2102909711.6944804</v>
      </c>
      <c r="BB54" s="376">
        <f t="shared" si="65"/>
        <v>2212493014.0045338</v>
      </c>
      <c r="BC54" s="376">
        <f t="shared" si="65"/>
        <v>2162913841.3210139</v>
      </c>
      <c r="BD54" s="376">
        <f t="shared" si="65"/>
        <v>1954022767.3853073</v>
      </c>
      <c r="BE54" s="376">
        <f t="shared" si="65"/>
        <v>1659030606.5900002</v>
      </c>
      <c r="BF54" s="376">
        <f t="shared" si="65"/>
        <v>1551186994.505307</v>
      </c>
      <c r="BG54" s="376">
        <f t="shared" si="65"/>
        <v>1548024935.1820803</v>
      </c>
      <c r="BH54" s="376">
        <f t="shared" si="65"/>
        <v>1585893053.2450137</v>
      </c>
      <c r="BI54" s="376">
        <f t="shared" si="65"/>
        <v>1569138922.3768003</v>
      </c>
      <c r="BJ54" s="376">
        <f t="shared" si="65"/>
        <v>1540707788.6528802</v>
      </c>
      <c r="BK54" s="376">
        <f t="shared" si="65"/>
        <v>1584815416.1680002</v>
      </c>
      <c r="BL54" s="376">
        <f t="shared" si="65"/>
        <v>1569382838.9333336</v>
      </c>
      <c r="BM54" s="376">
        <f t="shared" si="65"/>
        <v>1645974153.8000002</v>
      </c>
      <c r="BN54" s="376">
        <f t="shared" si="65"/>
        <v>1688069019.130667</v>
      </c>
      <c r="BO54" s="376">
        <f t="shared" si="65"/>
        <v>1775081779.6720004</v>
      </c>
      <c r="BP54" s="376">
        <f t="shared" si="65"/>
        <v>1682461036.3386669</v>
      </c>
      <c r="BQ54" s="376">
        <f t="shared" si="65"/>
        <v>1515453481.074667</v>
      </c>
      <c r="BR54" s="376">
        <f t="shared" si="65"/>
        <v>1612904545.554667</v>
      </c>
      <c r="BS54" s="376">
        <f t="shared" ref="BS54:CL54" si="66">BS7*BS18+BS8*BS19+BS9*BS20+BS10*BS21+BS11*BS22</f>
        <v>1626311447.7760003</v>
      </c>
      <c r="BT54" s="376">
        <f t="shared" si="66"/>
        <v>1465245624.2533333</v>
      </c>
      <c r="BU54" s="376">
        <f t="shared" si="66"/>
        <v>1140618306.4000001</v>
      </c>
      <c r="BV54" s="376">
        <f t="shared" si="66"/>
        <v>723440265.95733345</v>
      </c>
      <c r="BW54" s="376">
        <f t="shared" si="66"/>
        <v>786549706.80000007</v>
      </c>
      <c r="BX54" s="376">
        <f t="shared" si="66"/>
        <v>963881437.28533351</v>
      </c>
      <c r="BY54" s="376">
        <f t="shared" si="66"/>
        <v>1044692372.6986668</v>
      </c>
      <c r="BZ54" s="376">
        <f t="shared" si="66"/>
        <v>1162321243.2640002</v>
      </c>
      <c r="CA54" s="376">
        <f t="shared" si="66"/>
        <v>1230826133.4400001</v>
      </c>
      <c r="CB54" s="376">
        <f t="shared" si="66"/>
        <v>1369987969.6480002</v>
      </c>
      <c r="CC54" s="376">
        <f t="shared" si="66"/>
        <v>1643314630.0480006</v>
      </c>
      <c r="CD54" s="376">
        <f t="shared" si="66"/>
        <v>1667857767.9520004</v>
      </c>
      <c r="CE54" s="376">
        <f t="shared" si="66"/>
        <v>1502742729.666667</v>
      </c>
      <c r="CF54" s="376">
        <f t="shared" si="66"/>
        <v>1611902916.090667</v>
      </c>
      <c r="CG54" s="376">
        <f t="shared" si="66"/>
        <v>1878708853.8453336</v>
      </c>
      <c r="CH54" s="376">
        <f t="shared" si="66"/>
        <v>1855216770.074667</v>
      </c>
      <c r="CI54" s="376">
        <f t="shared" si="66"/>
        <v>1936891329.0106668</v>
      </c>
      <c r="CJ54" s="376">
        <f t="shared" si="66"/>
        <v>2075719015.7437336</v>
      </c>
      <c r="CK54" s="376">
        <f t="shared" si="66"/>
        <v>2340927679.1168003</v>
      </c>
      <c r="CL54" s="382">
        <f t="shared" si="66"/>
        <v>2334174884.810667</v>
      </c>
      <c r="CM54" s="75">
        <f t="shared" si="27"/>
        <v>1585057857.7497809</v>
      </c>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row>
    <row r="55" spans="1:178">
      <c r="A55" s="457" t="s">
        <v>339</v>
      </c>
      <c r="B55" s="53" t="s">
        <v>309</v>
      </c>
      <c r="C55" s="367" t="s">
        <v>323</v>
      </c>
      <c r="D55" s="367"/>
      <c r="E55" s="236"/>
      <c r="F55" s="389" t="s">
        <v>181</v>
      </c>
      <c r="G55" s="470">
        <f t="shared" ref="G55:BR55" si="67">G23*G2+G3*G24+G25*G4+G5*G26+G27*CP41</f>
        <v>1165599830.6107752</v>
      </c>
      <c r="H55" s="470">
        <f t="shared" si="67"/>
        <v>1029509536.8524759</v>
      </c>
      <c r="I55" s="470">
        <f t="shared" si="67"/>
        <v>885658422.08713341</v>
      </c>
      <c r="J55" s="470">
        <f t="shared" si="67"/>
        <v>709846460.30968332</v>
      </c>
      <c r="K55" s="470">
        <f t="shared" si="67"/>
        <v>824274169.25789094</v>
      </c>
      <c r="L55" s="470">
        <f t="shared" si="67"/>
        <v>836757830.23174858</v>
      </c>
      <c r="M55" s="470">
        <f t="shared" si="67"/>
        <v>853239994.87191033</v>
      </c>
      <c r="N55" s="470">
        <f t="shared" si="67"/>
        <v>895116480.16269314</v>
      </c>
      <c r="O55" s="470">
        <f t="shared" si="67"/>
        <v>852979975.15047383</v>
      </c>
      <c r="P55" s="470">
        <f t="shared" si="67"/>
        <v>768725408.23953402</v>
      </c>
      <c r="Q55" s="470">
        <f t="shared" si="67"/>
        <v>708255005.20262206</v>
      </c>
      <c r="R55" s="470">
        <f t="shared" si="67"/>
        <v>710887170.30002964</v>
      </c>
      <c r="S55" s="470">
        <f t="shared" si="67"/>
        <v>741691614.556687</v>
      </c>
      <c r="T55" s="470">
        <f t="shared" si="67"/>
        <v>772521798.17166114</v>
      </c>
      <c r="U55" s="470">
        <f t="shared" si="67"/>
        <v>764450796.92696691</v>
      </c>
      <c r="V55" s="470">
        <f t="shared" si="67"/>
        <v>632385427.68329012</v>
      </c>
      <c r="W55" s="470">
        <f t="shared" si="67"/>
        <v>581209626.13032496</v>
      </c>
      <c r="X55" s="470">
        <f t="shared" si="67"/>
        <v>617576570.2451756</v>
      </c>
      <c r="Y55" s="470">
        <f t="shared" si="67"/>
        <v>663205191.50707591</v>
      </c>
      <c r="Z55" s="470">
        <f t="shared" si="67"/>
        <v>694482437.93377209</v>
      </c>
      <c r="AA55" s="470">
        <f t="shared" si="67"/>
        <v>709525729.82931161</v>
      </c>
      <c r="AB55" s="470">
        <f t="shared" si="67"/>
        <v>652310659.17401254</v>
      </c>
      <c r="AC55" s="470">
        <f t="shared" si="67"/>
        <v>625444940.55080843</v>
      </c>
      <c r="AD55" s="470">
        <f t="shared" si="67"/>
        <v>661898322.4971534</v>
      </c>
      <c r="AE55" s="470">
        <f t="shared" si="67"/>
        <v>734199481.09700894</v>
      </c>
      <c r="AF55" s="470">
        <f t="shared" si="67"/>
        <v>766410247.05164242</v>
      </c>
      <c r="AG55" s="470">
        <f t="shared" si="67"/>
        <v>808387415.77290761</v>
      </c>
      <c r="AH55" s="470">
        <f t="shared" si="67"/>
        <v>887811878.90457547</v>
      </c>
      <c r="AI55" s="470">
        <f t="shared" si="67"/>
        <v>924411428.5904243</v>
      </c>
      <c r="AJ55" s="470">
        <f t="shared" si="67"/>
        <v>840373271.57185245</v>
      </c>
      <c r="AK55" s="470">
        <f t="shared" si="67"/>
        <v>803814800.22187614</v>
      </c>
      <c r="AL55" s="470">
        <f t="shared" si="67"/>
        <v>735685705.87555337</v>
      </c>
      <c r="AM55" s="470">
        <f t="shared" si="67"/>
        <v>702280554.58884394</v>
      </c>
      <c r="AN55" s="470">
        <f t="shared" si="67"/>
        <v>693076855.04244018</v>
      </c>
      <c r="AO55" s="470">
        <f t="shared" si="67"/>
        <v>772629421.16111898</v>
      </c>
      <c r="AP55" s="470">
        <f t="shared" si="67"/>
        <v>849971082.19426191</v>
      </c>
      <c r="AQ55" s="470">
        <f t="shared" si="67"/>
        <v>928503176.01615417</v>
      </c>
      <c r="AR55" s="470">
        <f t="shared" si="67"/>
        <v>987372180.07807982</v>
      </c>
      <c r="AS55" s="470">
        <f t="shared" si="67"/>
        <v>985364772.97474837</v>
      </c>
      <c r="AT55" s="470">
        <f t="shared" si="67"/>
        <v>990500939.9218502</v>
      </c>
      <c r="AU55" s="387">
        <f t="shared" si="67"/>
        <v>929476906.23944724</v>
      </c>
      <c r="AV55" s="387">
        <f t="shared" si="67"/>
        <v>920020924.95687032</v>
      </c>
      <c r="AW55" s="387">
        <f t="shared" si="67"/>
        <v>966915734.2694515</v>
      </c>
      <c r="AX55" s="387">
        <f t="shared" si="67"/>
        <v>1081658081.9956291</v>
      </c>
      <c r="AY55" s="387">
        <f t="shared" si="67"/>
        <v>1087017645.5995321</v>
      </c>
      <c r="AZ55" s="387">
        <f t="shared" si="67"/>
        <v>1116186001.8008506</v>
      </c>
      <c r="BA55" s="387">
        <f t="shared" si="67"/>
        <v>1146652638.0240564</v>
      </c>
      <c r="BB55" s="387">
        <f t="shared" si="67"/>
        <v>1236549127.8651938</v>
      </c>
      <c r="BC55" s="387">
        <f t="shared" si="67"/>
        <v>1274883561.1994874</v>
      </c>
      <c r="BD55" s="387">
        <f t="shared" si="67"/>
        <v>988173027.61532176</v>
      </c>
      <c r="BE55" s="387">
        <f t="shared" si="67"/>
        <v>871488103.53061867</v>
      </c>
      <c r="BF55" s="387">
        <f t="shared" si="67"/>
        <v>862029079.27042663</v>
      </c>
      <c r="BG55" s="387">
        <f t="shared" si="67"/>
        <v>928304549.67014861</v>
      </c>
      <c r="BH55" s="387">
        <f t="shared" si="67"/>
        <v>970847507.57352448</v>
      </c>
      <c r="BI55" s="387">
        <f t="shared" si="67"/>
        <v>1024553554.0635599</v>
      </c>
      <c r="BJ55" s="387">
        <f t="shared" si="67"/>
        <v>995970410.32797992</v>
      </c>
      <c r="BK55" s="387">
        <f t="shared" si="67"/>
        <v>849123620.77483535</v>
      </c>
      <c r="BL55" s="387">
        <f t="shared" si="67"/>
        <v>853133242.01529813</v>
      </c>
      <c r="BM55" s="387">
        <f t="shared" si="67"/>
        <v>818558605.69198287</v>
      </c>
      <c r="BN55" s="387">
        <f t="shared" si="67"/>
        <v>847185656.61742938</v>
      </c>
      <c r="BO55" s="387">
        <f t="shared" si="67"/>
        <v>891000284.97990191</v>
      </c>
      <c r="BP55" s="387">
        <f t="shared" si="67"/>
        <v>941319111.75754488</v>
      </c>
      <c r="BQ55" s="387">
        <f t="shared" si="67"/>
        <v>971793331.47727704</v>
      </c>
      <c r="BR55" s="387">
        <f t="shared" si="67"/>
        <v>1027070112.3841188</v>
      </c>
      <c r="BS55" s="387">
        <f t="shared" ref="BS55:CL55" si="68">BS23*BS2+BS3*BS24+BS25*BS4+BS5*BS26+BS27*FB41</f>
        <v>923869744.22114718</v>
      </c>
      <c r="BT55" s="387">
        <f t="shared" si="68"/>
        <v>665252904.70948803</v>
      </c>
      <c r="BU55" s="387">
        <f t="shared" si="68"/>
        <v>368406395.39900076</v>
      </c>
      <c r="BV55" s="387">
        <f t="shared" si="68"/>
        <v>538872624.88106692</v>
      </c>
      <c r="BW55" s="387">
        <f t="shared" si="68"/>
        <v>716301378.97952318</v>
      </c>
      <c r="BX55" s="387">
        <f t="shared" si="68"/>
        <v>759767691.27775824</v>
      </c>
      <c r="BY55" s="387">
        <f t="shared" si="68"/>
        <v>757483270.39244938</v>
      </c>
      <c r="BZ55" s="387">
        <f t="shared" si="68"/>
        <v>757990384.87812853</v>
      </c>
      <c r="CA55" s="387">
        <f t="shared" si="68"/>
        <v>757616124.50786948</v>
      </c>
      <c r="CB55" s="387">
        <f t="shared" si="68"/>
        <v>792046086.35622621</v>
      </c>
      <c r="CC55" s="387">
        <f t="shared" si="68"/>
        <v>866456599.19573867</v>
      </c>
      <c r="CD55" s="387">
        <f t="shared" si="68"/>
        <v>999929435.5466944</v>
      </c>
      <c r="CE55" s="387">
        <f t="shared" si="68"/>
        <v>1096542575.9022841</v>
      </c>
      <c r="CF55" s="387">
        <f t="shared" si="68"/>
        <v>1131173136.9815817</v>
      </c>
      <c r="CG55" s="387">
        <f t="shared" si="68"/>
        <v>1085394698.418916</v>
      </c>
      <c r="CH55" s="387">
        <f t="shared" si="68"/>
        <v>1070705536.7716056</v>
      </c>
      <c r="CI55" s="387">
        <f t="shared" si="68"/>
        <v>1160102865.5103626</v>
      </c>
      <c r="CJ55" s="387">
        <f t="shared" si="68"/>
        <v>1280046177.8513508</v>
      </c>
      <c r="CK55" s="387">
        <f t="shared" si="68"/>
        <v>1248531899.5030065</v>
      </c>
      <c r="CL55" s="389">
        <f t="shared" si="68"/>
        <v>1296003873.3289766</v>
      </c>
      <c r="CM55" s="75">
        <f t="shared" si="27"/>
        <v>876675605.16500258</v>
      </c>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c r="EX55" s="58"/>
      <c r="EY55" s="58"/>
      <c r="EZ55" s="58"/>
      <c r="FA55" s="58"/>
      <c r="FB55" s="58"/>
      <c r="FC55" s="58"/>
      <c r="FD55" s="58"/>
      <c r="FE55" s="58"/>
      <c r="FF55" s="58"/>
      <c r="FG55" s="58"/>
      <c r="FH55" s="58"/>
      <c r="FI55" s="58"/>
      <c r="FJ55" s="58"/>
      <c r="FK55" s="58"/>
      <c r="FL55" s="58"/>
      <c r="FM55" s="58"/>
      <c r="FN55" s="58"/>
      <c r="FO55" s="58"/>
      <c r="FP55" s="58"/>
      <c r="FQ55" s="58"/>
      <c r="FR55" s="58"/>
      <c r="FS55" s="58"/>
      <c r="FT55" s="58"/>
      <c r="FU55" s="58"/>
      <c r="FV55" s="58"/>
    </row>
    <row r="56" spans="1:178">
      <c r="A56" s="1052" t="s">
        <v>340</v>
      </c>
      <c r="B56" s="286" t="s">
        <v>309</v>
      </c>
      <c r="C56" s="356" t="s">
        <v>341</v>
      </c>
      <c r="D56" s="471"/>
      <c r="E56" s="357" t="s">
        <v>342</v>
      </c>
      <c r="F56" s="358" t="s">
        <v>182</v>
      </c>
      <c r="G56" s="356">
        <v>61200</v>
      </c>
      <c r="H56" s="356">
        <v>59900</v>
      </c>
      <c r="I56" s="356">
        <v>56300</v>
      </c>
      <c r="J56" s="356">
        <v>55700</v>
      </c>
      <c r="K56" s="356">
        <v>56300</v>
      </c>
      <c r="L56" s="356">
        <v>58150</v>
      </c>
      <c r="M56" s="356">
        <v>53250</v>
      </c>
      <c r="N56" s="356">
        <v>56120</v>
      </c>
      <c r="O56" s="356">
        <v>54550</v>
      </c>
      <c r="P56" s="356">
        <v>53770</v>
      </c>
      <c r="Q56" s="356">
        <v>49150</v>
      </c>
      <c r="R56" s="357">
        <v>50422</v>
      </c>
      <c r="S56" s="472">
        <v>63830</v>
      </c>
      <c r="T56" s="472">
        <v>65270</v>
      </c>
      <c r="U56" s="472">
        <v>63660</v>
      </c>
      <c r="V56" s="472">
        <v>62890</v>
      </c>
      <c r="W56" s="472">
        <v>59990</v>
      </c>
      <c r="X56" s="472">
        <v>61910</v>
      </c>
      <c r="Y56" s="472">
        <v>63893.9</v>
      </c>
      <c r="Z56" s="472">
        <v>65649.599999999991</v>
      </c>
      <c r="AA56" s="472">
        <v>65504.1</v>
      </c>
      <c r="AB56" s="472">
        <v>65533.2</v>
      </c>
      <c r="AC56" s="472">
        <v>66086.099999999991</v>
      </c>
      <c r="AD56" s="472">
        <v>66018.2</v>
      </c>
      <c r="AE56" s="472">
        <v>67706</v>
      </c>
      <c r="AF56" s="472">
        <v>69975.8</v>
      </c>
      <c r="AG56" s="472">
        <v>72653</v>
      </c>
      <c r="AH56" s="472">
        <v>72400.800000000003</v>
      </c>
      <c r="AI56" s="472">
        <v>72526.899999999994</v>
      </c>
      <c r="AJ56" s="472">
        <v>73943.099999999991</v>
      </c>
      <c r="AK56" s="472">
        <v>74253.5</v>
      </c>
      <c r="AL56" s="472">
        <v>70616</v>
      </c>
      <c r="AM56" s="472">
        <v>68452.899999999994</v>
      </c>
      <c r="AN56" s="472">
        <v>69209.5</v>
      </c>
      <c r="AO56" s="472">
        <v>68404.399999999994</v>
      </c>
      <c r="AP56" s="472">
        <v>68520.800000000003</v>
      </c>
      <c r="AQ56" s="472">
        <v>70034</v>
      </c>
      <c r="AR56" s="472">
        <v>70257.099999999991</v>
      </c>
      <c r="AS56" s="472">
        <v>66367.399999999994</v>
      </c>
      <c r="AT56" s="473">
        <v>66823.3</v>
      </c>
      <c r="AU56" s="472">
        <v>68191</v>
      </c>
      <c r="AV56" s="472">
        <v>74650</v>
      </c>
      <c r="AW56" s="472">
        <v>74650</v>
      </c>
      <c r="AX56" s="472">
        <v>74038</v>
      </c>
      <c r="AY56" s="472">
        <v>77038</v>
      </c>
      <c r="AZ56" s="472">
        <v>85370</v>
      </c>
      <c r="BA56" s="472">
        <v>86820</v>
      </c>
      <c r="BB56" s="472">
        <v>87660</v>
      </c>
      <c r="BC56" s="472">
        <v>84450</v>
      </c>
      <c r="BD56" s="472">
        <v>87130</v>
      </c>
      <c r="BE56" s="472">
        <v>85840</v>
      </c>
      <c r="BF56" s="474">
        <v>69920</v>
      </c>
      <c r="BG56" s="474">
        <v>73060</v>
      </c>
      <c r="BH56" s="474">
        <v>73390</v>
      </c>
      <c r="BI56" s="474">
        <v>71080</v>
      </c>
      <c r="BJ56" s="474">
        <v>71100</v>
      </c>
      <c r="BK56" s="474">
        <v>69220</v>
      </c>
      <c r="BL56" s="474">
        <v>73140</v>
      </c>
      <c r="BM56" s="474">
        <v>75100</v>
      </c>
      <c r="BN56" s="474">
        <v>76560</v>
      </c>
      <c r="BO56" s="474">
        <v>75820</v>
      </c>
      <c r="BP56" s="474">
        <v>74240</v>
      </c>
      <c r="BQ56" s="474">
        <v>74180</v>
      </c>
      <c r="BR56" s="474">
        <v>74790</v>
      </c>
      <c r="BS56" s="474">
        <v>76180</v>
      </c>
      <c r="BT56" s="474">
        <v>75130</v>
      </c>
      <c r="BU56" s="474">
        <v>70280</v>
      </c>
      <c r="BV56" s="474">
        <v>65840</v>
      </c>
      <c r="BW56" s="474">
        <v>73050</v>
      </c>
      <c r="BX56" s="474">
        <v>75370</v>
      </c>
      <c r="BY56" s="474">
        <v>78360</v>
      </c>
      <c r="BZ56" s="474">
        <v>85450</v>
      </c>
      <c r="CA56" s="474">
        <v>93490</v>
      </c>
      <c r="CB56" s="474">
        <v>98520</v>
      </c>
      <c r="CC56" s="474">
        <v>110130</v>
      </c>
      <c r="CD56" s="474">
        <v>118350</v>
      </c>
      <c r="CE56" s="474">
        <v>118720</v>
      </c>
      <c r="CF56" s="474">
        <v>122550</v>
      </c>
      <c r="CG56" s="474">
        <v>127300</v>
      </c>
      <c r="CH56" s="474">
        <v>129000</v>
      </c>
      <c r="CI56" s="474">
        <v>124550</v>
      </c>
      <c r="CJ56" s="474">
        <v>118450</v>
      </c>
      <c r="CK56" s="474">
        <v>112300</v>
      </c>
      <c r="CL56" s="475">
        <v>115700</v>
      </c>
      <c r="CM56" s="75">
        <f t="shared" si="27"/>
        <v>75992.245238095231</v>
      </c>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c r="EX56" s="58"/>
      <c r="EY56" s="58"/>
      <c r="EZ56" s="58"/>
      <c r="FA56" s="58"/>
      <c r="FB56" s="58"/>
      <c r="FC56" s="58"/>
      <c r="FD56" s="58"/>
      <c r="FE56" s="58"/>
      <c r="FF56" s="58"/>
      <c r="FG56" s="58"/>
      <c r="FH56" s="58"/>
      <c r="FI56" s="58"/>
      <c r="FJ56" s="58"/>
      <c r="FK56" s="58"/>
      <c r="FL56" s="58"/>
      <c r="FM56" s="58"/>
      <c r="FN56" s="58"/>
      <c r="FO56" s="58"/>
      <c r="FP56" s="58"/>
      <c r="FQ56" s="58"/>
      <c r="FR56" s="58"/>
      <c r="FS56" s="58"/>
      <c r="FT56" s="58"/>
      <c r="FU56" s="58"/>
      <c r="FV56" s="58"/>
    </row>
    <row r="57" spans="1:178">
      <c r="A57" s="1054"/>
      <c r="B57" s="224" t="s">
        <v>309</v>
      </c>
      <c r="C57" s="367" t="s">
        <v>341</v>
      </c>
      <c r="D57" s="476"/>
      <c r="E57" s="236" t="s">
        <v>349</v>
      </c>
      <c r="F57" s="938" t="s">
        <v>343</v>
      </c>
      <c r="G57" s="367">
        <v>77300</v>
      </c>
      <c r="H57" s="367">
        <v>75200</v>
      </c>
      <c r="I57" s="367">
        <v>72150</v>
      </c>
      <c r="J57" s="367">
        <v>70700</v>
      </c>
      <c r="K57" s="367">
        <v>71399</v>
      </c>
      <c r="L57" s="367">
        <v>74500</v>
      </c>
      <c r="M57" s="367">
        <v>72800</v>
      </c>
      <c r="N57" s="367">
        <v>69900</v>
      </c>
      <c r="O57" s="367">
        <v>65300</v>
      </c>
      <c r="P57" s="367">
        <v>67800</v>
      </c>
      <c r="Q57" s="367">
        <v>65900</v>
      </c>
      <c r="R57" s="236">
        <v>63400</v>
      </c>
      <c r="S57" s="477">
        <f t="shared" ref="S57:AS57" si="69">S56*0.95</f>
        <v>60638.5</v>
      </c>
      <c r="T57" s="477">
        <f t="shared" si="69"/>
        <v>62006.5</v>
      </c>
      <c r="U57" s="477">
        <f t="shared" si="69"/>
        <v>60477</v>
      </c>
      <c r="V57" s="477">
        <f t="shared" si="69"/>
        <v>59745.5</v>
      </c>
      <c r="W57" s="477">
        <f t="shared" si="69"/>
        <v>56990.5</v>
      </c>
      <c r="X57" s="477">
        <f t="shared" si="69"/>
        <v>58814.5</v>
      </c>
      <c r="Y57" s="477">
        <f t="shared" si="69"/>
        <v>60699.205000000002</v>
      </c>
      <c r="Z57" s="477">
        <f t="shared" si="69"/>
        <v>62367.119999999988</v>
      </c>
      <c r="AA57" s="477">
        <f t="shared" si="69"/>
        <v>62228.894999999997</v>
      </c>
      <c r="AB57" s="477">
        <f t="shared" si="69"/>
        <v>62256.539999999994</v>
      </c>
      <c r="AC57" s="477">
        <f t="shared" si="69"/>
        <v>62781.794999999991</v>
      </c>
      <c r="AD57" s="477">
        <f t="shared" si="69"/>
        <v>62717.289999999994</v>
      </c>
      <c r="AE57" s="477">
        <f t="shared" si="69"/>
        <v>64320.7</v>
      </c>
      <c r="AF57" s="477">
        <f t="shared" si="69"/>
        <v>66477.009999999995</v>
      </c>
      <c r="AG57" s="477">
        <f t="shared" si="69"/>
        <v>69020.349999999991</v>
      </c>
      <c r="AH57" s="477">
        <f t="shared" si="69"/>
        <v>68780.759999999995</v>
      </c>
      <c r="AI57" s="477">
        <f t="shared" si="69"/>
        <v>68900.554999999993</v>
      </c>
      <c r="AJ57" s="477">
        <f t="shared" si="69"/>
        <v>70245.944999999992</v>
      </c>
      <c r="AK57" s="477">
        <f t="shared" si="69"/>
        <v>70540.824999999997</v>
      </c>
      <c r="AL57" s="477">
        <f t="shared" si="69"/>
        <v>67085.2</v>
      </c>
      <c r="AM57" s="477">
        <f t="shared" si="69"/>
        <v>65030.25499999999</v>
      </c>
      <c r="AN57" s="477">
        <f t="shared" si="69"/>
        <v>65749.024999999994</v>
      </c>
      <c r="AO57" s="477">
        <f t="shared" si="69"/>
        <v>64984.179999999993</v>
      </c>
      <c r="AP57" s="477">
        <f t="shared" si="69"/>
        <v>65094.76</v>
      </c>
      <c r="AQ57" s="477">
        <f t="shared" si="69"/>
        <v>66532.3</v>
      </c>
      <c r="AR57" s="477">
        <f t="shared" si="69"/>
        <v>66744.244999999995</v>
      </c>
      <c r="AS57" s="477">
        <f t="shared" si="69"/>
        <v>63049.029999999992</v>
      </c>
      <c r="AT57" s="477">
        <f>AT56*0.95</f>
        <v>63482.135000000002</v>
      </c>
      <c r="AU57" s="477">
        <f t="shared" ref="AU57:CL57" si="70">AU56*0.95</f>
        <v>64781.45</v>
      </c>
      <c r="AV57" s="477">
        <f t="shared" si="70"/>
        <v>70917.5</v>
      </c>
      <c r="AW57" s="477">
        <f t="shared" si="70"/>
        <v>70917.5</v>
      </c>
      <c r="AX57" s="477">
        <f t="shared" si="70"/>
        <v>70336.099999999991</v>
      </c>
      <c r="AY57" s="477">
        <f t="shared" si="70"/>
        <v>73186.099999999991</v>
      </c>
      <c r="AZ57" s="477">
        <f t="shared" si="70"/>
        <v>81101.5</v>
      </c>
      <c r="BA57" s="477">
        <f t="shared" si="70"/>
        <v>82479</v>
      </c>
      <c r="BB57" s="477">
        <f t="shared" si="70"/>
        <v>83277</v>
      </c>
      <c r="BC57" s="477">
        <f t="shared" si="70"/>
        <v>80227.5</v>
      </c>
      <c r="BD57" s="477">
        <f t="shared" si="70"/>
        <v>82773.5</v>
      </c>
      <c r="BE57" s="477">
        <f t="shared" si="70"/>
        <v>81548</v>
      </c>
      <c r="BF57" s="478">
        <f t="shared" si="70"/>
        <v>66424</v>
      </c>
      <c r="BG57" s="478">
        <f t="shared" si="70"/>
        <v>69407</v>
      </c>
      <c r="BH57" s="478">
        <f t="shared" si="70"/>
        <v>69720.5</v>
      </c>
      <c r="BI57" s="478">
        <f t="shared" si="70"/>
        <v>67526</v>
      </c>
      <c r="BJ57" s="478">
        <f t="shared" si="70"/>
        <v>67545</v>
      </c>
      <c r="BK57" s="478">
        <f t="shared" si="70"/>
        <v>65759</v>
      </c>
      <c r="BL57" s="478">
        <f t="shared" si="70"/>
        <v>69483</v>
      </c>
      <c r="BM57" s="478">
        <f t="shared" si="70"/>
        <v>71345</v>
      </c>
      <c r="BN57" s="478">
        <f t="shared" si="70"/>
        <v>72732</v>
      </c>
      <c r="BO57" s="478">
        <f t="shared" si="70"/>
        <v>72029</v>
      </c>
      <c r="BP57" s="478">
        <f t="shared" si="70"/>
        <v>70528</v>
      </c>
      <c r="BQ57" s="478">
        <f t="shared" si="70"/>
        <v>70471</v>
      </c>
      <c r="BR57" s="478">
        <f t="shared" si="70"/>
        <v>71050.5</v>
      </c>
      <c r="BS57" s="478">
        <f t="shared" si="70"/>
        <v>72371</v>
      </c>
      <c r="BT57" s="478">
        <f t="shared" si="70"/>
        <v>71373.5</v>
      </c>
      <c r="BU57" s="478">
        <f t="shared" si="70"/>
        <v>66766</v>
      </c>
      <c r="BV57" s="478">
        <f t="shared" si="70"/>
        <v>62548</v>
      </c>
      <c r="BW57" s="478">
        <f t="shared" si="70"/>
        <v>69397.5</v>
      </c>
      <c r="BX57" s="478">
        <f t="shared" si="70"/>
        <v>71601.5</v>
      </c>
      <c r="BY57" s="478">
        <f t="shared" si="70"/>
        <v>74442</v>
      </c>
      <c r="BZ57" s="478">
        <f t="shared" si="70"/>
        <v>81177.5</v>
      </c>
      <c r="CA57" s="478">
        <f t="shared" si="70"/>
        <v>88815.5</v>
      </c>
      <c r="CB57" s="478">
        <f t="shared" si="70"/>
        <v>93594</v>
      </c>
      <c r="CC57" s="478">
        <f t="shared" si="70"/>
        <v>104623.5</v>
      </c>
      <c r="CD57" s="478">
        <f t="shared" si="70"/>
        <v>112432.5</v>
      </c>
      <c r="CE57" s="478">
        <f t="shared" si="70"/>
        <v>112784</v>
      </c>
      <c r="CF57" s="478">
        <f t="shared" si="70"/>
        <v>116422.5</v>
      </c>
      <c r="CG57" s="478">
        <f t="shared" si="70"/>
        <v>120935</v>
      </c>
      <c r="CH57" s="478">
        <f t="shared" si="70"/>
        <v>122550</v>
      </c>
      <c r="CI57" s="478">
        <f t="shared" si="70"/>
        <v>118322.5</v>
      </c>
      <c r="CJ57" s="478">
        <f t="shared" si="70"/>
        <v>112527.5</v>
      </c>
      <c r="CK57" s="478">
        <f t="shared" si="70"/>
        <v>106685</v>
      </c>
      <c r="CL57" s="479">
        <f t="shared" si="70"/>
        <v>109915</v>
      </c>
      <c r="CM57" s="75">
        <f t="shared" si="27"/>
        <v>74749.509166666656</v>
      </c>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c r="EX57" s="58"/>
      <c r="EY57" s="58"/>
      <c r="EZ57" s="58"/>
      <c r="FA57" s="58"/>
      <c r="FB57" s="58"/>
      <c r="FC57" s="58"/>
      <c r="FD57" s="58"/>
      <c r="FE57" s="58"/>
      <c r="FF57" s="58"/>
      <c r="FG57" s="58"/>
      <c r="FH57" s="58"/>
      <c r="FI57" s="58"/>
      <c r="FJ57" s="58"/>
      <c r="FK57" s="58"/>
      <c r="FL57" s="58"/>
      <c r="FM57" s="58"/>
      <c r="FN57" s="58"/>
      <c r="FO57" s="58"/>
      <c r="FP57" s="58"/>
      <c r="FQ57" s="58"/>
      <c r="FR57" s="58"/>
      <c r="FS57" s="58"/>
      <c r="FT57" s="58"/>
      <c r="FU57" s="58"/>
      <c r="FV57" s="58"/>
    </row>
    <row r="58" spans="1:178">
      <c r="A58" s="58"/>
      <c r="B58" s="58"/>
      <c r="C58" s="58"/>
      <c r="D58" s="58"/>
      <c r="E58" s="58"/>
      <c r="F58" s="480"/>
      <c r="G58" s="480"/>
      <c r="H58" s="480"/>
      <c r="I58" s="480"/>
      <c r="J58" s="480"/>
      <c r="K58" s="480"/>
      <c r="L58" s="480"/>
      <c r="M58" s="480"/>
      <c r="N58" s="480"/>
      <c r="O58" s="480"/>
      <c r="P58" s="480"/>
      <c r="Q58" s="480"/>
      <c r="R58" s="480"/>
      <c r="S58" s="481"/>
      <c r="T58" s="481"/>
      <c r="U58" s="481"/>
      <c r="V58" s="481"/>
      <c r="W58" s="481"/>
      <c r="X58" s="481"/>
      <c r="Y58" s="481"/>
      <c r="Z58" s="481"/>
      <c r="AA58" s="481"/>
      <c r="AB58" s="481"/>
      <c r="AC58" s="481"/>
      <c r="AD58" s="481"/>
      <c r="AE58" s="481"/>
      <c r="AF58" s="481"/>
      <c r="AG58" s="481"/>
      <c r="AH58" s="481"/>
      <c r="AI58" s="481"/>
      <c r="AJ58" s="481"/>
      <c r="AK58" s="481"/>
      <c r="AL58" s="481"/>
      <c r="AM58" s="481"/>
      <c r="AN58" s="481"/>
      <c r="AO58" s="481"/>
      <c r="AP58" s="481"/>
      <c r="AQ58" s="481"/>
      <c r="AR58" s="481"/>
      <c r="AS58" s="481"/>
      <c r="AT58" s="482">
        <v>8000</v>
      </c>
      <c r="AU58" s="481"/>
      <c r="AV58" s="481"/>
      <c r="AW58" s="481"/>
      <c r="AX58" s="481"/>
      <c r="AY58" s="481"/>
      <c r="AZ58" s="481"/>
      <c r="BA58" s="481"/>
      <c r="BB58" s="481"/>
      <c r="BC58" s="481"/>
      <c r="BD58" s="481"/>
      <c r="BE58" s="481"/>
      <c r="BF58" s="481"/>
      <c r="BG58" s="481"/>
      <c r="BH58" s="481"/>
      <c r="BI58" s="481"/>
      <c r="BJ58" s="481"/>
      <c r="BK58" s="481"/>
      <c r="BL58" s="481"/>
      <c r="BM58" s="481"/>
      <c r="BN58" s="481"/>
      <c r="BO58" s="481"/>
      <c r="BP58" s="481"/>
      <c r="BQ58" s="481"/>
      <c r="BR58" s="481"/>
      <c r="BS58" s="481"/>
      <c r="BT58" s="481"/>
      <c r="BU58" s="481"/>
      <c r="BV58" s="481"/>
      <c r="BW58" s="481"/>
      <c r="BX58" s="481"/>
      <c r="BY58" s="481"/>
      <c r="BZ58" s="481"/>
      <c r="CA58" s="481"/>
      <c r="CB58" s="481"/>
      <c r="CC58" s="481"/>
      <c r="CD58" s="481"/>
      <c r="CE58" s="481"/>
      <c r="CF58" s="481"/>
      <c r="CG58" s="481"/>
      <c r="CH58" s="481"/>
      <c r="CI58" s="481"/>
      <c r="CJ58" s="481"/>
      <c r="CK58" s="481"/>
      <c r="CL58" s="481"/>
      <c r="CM58" s="415"/>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row>
    <row r="59" spans="1:178" ht="12.75" customHeight="1">
      <c r="A59" s="1047" t="s">
        <v>607</v>
      </c>
      <c r="B59" s="1047"/>
      <c r="C59" s="1047"/>
      <c r="D59" s="1047"/>
      <c r="E59" s="1048"/>
      <c r="F59" s="483" t="s">
        <v>183</v>
      </c>
      <c r="G59" s="483"/>
      <c r="H59" s="483"/>
      <c r="I59" s="483"/>
      <c r="J59" s="483"/>
      <c r="K59" s="483"/>
      <c r="L59" s="483"/>
      <c r="M59" s="483"/>
      <c r="N59" s="483"/>
      <c r="O59" s="483"/>
      <c r="P59" s="483"/>
      <c r="Q59" s="483"/>
      <c r="R59" s="483"/>
      <c r="S59" s="484"/>
      <c r="T59" s="484"/>
      <c r="U59" s="484"/>
      <c r="V59" s="484"/>
      <c r="W59" s="484"/>
      <c r="X59" s="484"/>
      <c r="Y59" s="484"/>
      <c r="Z59" s="484"/>
      <c r="AA59" s="484"/>
      <c r="AB59" s="484"/>
      <c r="AC59" s="484"/>
      <c r="AD59" s="484"/>
      <c r="AE59" s="484"/>
      <c r="AF59" s="484"/>
      <c r="AG59" s="484"/>
      <c r="AH59" s="484"/>
      <c r="AI59" s="484"/>
      <c r="AJ59" s="484"/>
      <c r="AK59" s="484"/>
      <c r="AL59" s="484"/>
      <c r="AM59" s="484"/>
      <c r="AN59" s="484"/>
      <c r="AO59" s="484"/>
      <c r="AP59" s="484"/>
      <c r="AQ59" s="484"/>
      <c r="AR59" s="484"/>
      <c r="AS59" s="484"/>
      <c r="AT59" s="485"/>
      <c r="AU59" s="359"/>
      <c r="AV59" s="359"/>
      <c r="AW59" s="359"/>
      <c r="AX59" s="359"/>
      <c r="AY59" s="359"/>
      <c r="AZ59" s="359"/>
      <c r="BA59" s="359"/>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59"/>
      <c r="CL59" s="359"/>
      <c r="CM59" s="484"/>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row>
    <row r="60" spans="1:178">
      <c r="A60" s="1047"/>
      <c r="B60" s="1047"/>
      <c r="C60" s="1047"/>
      <c r="D60" s="1047"/>
      <c r="E60" s="1048"/>
      <c r="F60" s="363" t="s">
        <v>184</v>
      </c>
      <c r="G60" s="482">
        <f t="shared" ref="G60:BR61" si="71">G42</f>
        <v>6638289.9524115948</v>
      </c>
      <c r="H60" s="482">
        <f t="shared" si="71"/>
        <v>6638289.9524115948</v>
      </c>
      <c r="I60" s="482">
        <f t="shared" si="71"/>
        <v>6638289.9524115948</v>
      </c>
      <c r="J60" s="482">
        <f t="shared" si="71"/>
        <v>6638289.9524115948</v>
      </c>
      <c r="K60" s="482">
        <f t="shared" si="71"/>
        <v>6638289.9524115948</v>
      </c>
      <c r="L60" s="482">
        <f t="shared" si="71"/>
        <v>6638289.9524115948</v>
      </c>
      <c r="M60" s="482">
        <f t="shared" si="71"/>
        <v>6638289.9524115948</v>
      </c>
      <c r="N60" s="482">
        <f t="shared" si="71"/>
        <v>6638289.9524115948</v>
      </c>
      <c r="O60" s="482">
        <f t="shared" si="71"/>
        <v>6638289.9524115948</v>
      </c>
      <c r="P60" s="482">
        <f t="shared" si="71"/>
        <v>6638289.9524115948</v>
      </c>
      <c r="Q60" s="482">
        <f t="shared" si="71"/>
        <v>6638289.9524115948</v>
      </c>
      <c r="R60" s="482">
        <f t="shared" si="71"/>
        <v>6638289.9524115948</v>
      </c>
      <c r="S60" s="482">
        <f t="shared" si="71"/>
        <v>6638289.9524115948</v>
      </c>
      <c r="T60" s="482">
        <f t="shared" si="71"/>
        <v>6638289.9524115948</v>
      </c>
      <c r="U60" s="482">
        <f t="shared" si="71"/>
        <v>6638289.9524115948</v>
      </c>
      <c r="V60" s="482">
        <f t="shared" si="71"/>
        <v>6638289.9524115948</v>
      </c>
      <c r="W60" s="482">
        <f t="shared" si="71"/>
        <v>6638289.9524115948</v>
      </c>
      <c r="X60" s="482">
        <f t="shared" si="71"/>
        <v>6638289.9524115948</v>
      </c>
      <c r="Y60" s="482">
        <f t="shared" si="71"/>
        <v>6638289.9524115948</v>
      </c>
      <c r="Z60" s="482">
        <f t="shared" si="71"/>
        <v>6638289.9524115948</v>
      </c>
      <c r="AA60" s="482">
        <f t="shared" si="71"/>
        <v>6638289.9524115948</v>
      </c>
      <c r="AB60" s="482">
        <f t="shared" si="71"/>
        <v>6638289.9524115948</v>
      </c>
      <c r="AC60" s="482">
        <f t="shared" si="71"/>
        <v>6638289.9524115948</v>
      </c>
      <c r="AD60" s="482">
        <f t="shared" si="71"/>
        <v>6638289.9524115948</v>
      </c>
      <c r="AE60" s="482">
        <f t="shared" si="71"/>
        <v>6638289.9524115948</v>
      </c>
      <c r="AF60" s="482">
        <f t="shared" si="71"/>
        <v>6638289.9524115948</v>
      </c>
      <c r="AG60" s="482">
        <f t="shared" si="71"/>
        <v>6638289.9524115948</v>
      </c>
      <c r="AH60" s="482">
        <f t="shared" si="71"/>
        <v>6638289.9524115948</v>
      </c>
      <c r="AI60" s="482">
        <f t="shared" si="71"/>
        <v>6638289.9524115948</v>
      </c>
      <c r="AJ60" s="482">
        <f t="shared" si="71"/>
        <v>6638289.9524115948</v>
      </c>
      <c r="AK60" s="482">
        <f t="shared" si="71"/>
        <v>6638289.9524115948</v>
      </c>
      <c r="AL60" s="482">
        <f t="shared" si="71"/>
        <v>6638289.9524115948</v>
      </c>
      <c r="AM60" s="482">
        <f t="shared" si="71"/>
        <v>6638289.9524115948</v>
      </c>
      <c r="AN60" s="482">
        <f t="shared" si="71"/>
        <v>6638289.9524115948</v>
      </c>
      <c r="AO60" s="482">
        <f t="shared" si="71"/>
        <v>6638289.9524115948</v>
      </c>
      <c r="AP60" s="482">
        <f t="shared" si="71"/>
        <v>6638289.9524115948</v>
      </c>
      <c r="AQ60" s="482">
        <f t="shared" si="71"/>
        <v>6638289.9524115948</v>
      </c>
      <c r="AR60" s="482">
        <f t="shared" si="71"/>
        <v>6638289.9524115948</v>
      </c>
      <c r="AS60" s="482">
        <f t="shared" si="71"/>
        <v>6638289.9524115948</v>
      </c>
      <c r="AT60" s="482">
        <f t="shared" si="71"/>
        <v>6638289.9524115948</v>
      </c>
      <c r="AU60" s="319">
        <f t="shared" si="71"/>
        <v>6638289.9524115948</v>
      </c>
      <c r="AV60" s="319">
        <f t="shared" si="71"/>
        <v>6638289.9524115948</v>
      </c>
      <c r="AW60" s="319">
        <f t="shared" si="71"/>
        <v>6638289.9524115948</v>
      </c>
      <c r="AX60" s="319">
        <f t="shared" si="71"/>
        <v>6638289.9524115948</v>
      </c>
      <c r="AY60" s="319">
        <f t="shared" si="71"/>
        <v>6638289.9524115948</v>
      </c>
      <c r="AZ60" s="319">
        <f t="shared" si="71"/>
        <v>6638289.9524115948</v>
      </c>
      <c r="BA60" s="319">
        <f t="shared" si="71"/>
        <v>6638289.9524115948</v>
      </c>
      <c r="BB60" s="319">
        <f t="shared" si="71"/>
        <v>6638289.9524115948</v>
      </c>
      <c r="BC60" s="319">
        <f t="shared" si="71"/>
        <v>6638289.9524115948</v>
      </c>
      <c r="BD60" s="319">
        <f t="shared" si="71"/>
        <v>6638289.9524115948</v>
      </c>
      <c r="BE60" s="319">
        <f t="shared" si="71"/>
        <v>6638289.9524115948</v>
      </c>
      <c r="BF60" s="319">
        <f t="shared" si="71"/>
        <v>6638289.9524115948</v>
      </c>
      <c r="BG60" s="319">
        <f t="shared" si="71"/>
        <v>6638289.9524115948</v>
      </c>
      <c r="BH60" s="319">
        <f t="shared" si="71"/>
        <v>6638289.9524115948</v>
      </c>
      <c r="BI60" s="319">
        <f t="shared" si="71"/>
        <v>6638289.9524115948</v>
      </c>
      <c r="BJ60" s="319">
        <f t="shared" si="71"/>
        <v>6638289.9524115948</v>
      </c>
      <c r="BK60" s="319">
        <f t="shared" si="71"/>
        <v>6638289.9524115948</v>
      </c>
      <c r="BL60" s="319">
        <f t="shared" si="71"/>
        <v>6638289.9524115948</v>
      </c>
      <c r="BM60" s="319">
        <f t="shared" si="71"/>
        <v>6638289.9524115948</v>
      </c>
      <c r="BN60" s="319">
        <f t="shared" si="71"/>
        <v>6638289.9524115948</v>
      </c>
      <c r="BO60" s="319">
        <f t="shared" si="71"/>
        <v>6638289.9524115948</v>
      </c>
      <c r="BP60" s="319">
        <f t="shared" si="71"/>
        <v>6638289.9524115948</v>
      </c>
      <c r="BQ60" s="319">
        <f t="shared" si="71"/>
        <v>6638289.9524115948</v>
      </c>
      <c r="BR60" s="319">
        <f t="shared" si="71"/>
        <v>6638289.9524115948</v>
      </c>
      <c r="BS60" s="319">
        <f t="shared" ref="BS60:CL61" si="72">BS42</f>
        <v>6638289.9524115948</v>
      </c>
      <c r="BT60" s="319">
        <f t="shared" si="72"/>
        <v>6638289.9524115948</v>
      </c>
      <c r="BU60" s="319">
        <f t="shared" si="72"/>
        <v>6638289.9524115948</v>
      </c>
      <c r="BV60" s="319">
        <f t="shared" si="72"/>
        <v>6638289.9524115948</v>
      </c>
      <c r="BW60" s="319">
        <f t="shared" si="72"/>
        <v>6638289.9524115948</v>
      </c>
      <c r="BX60" s="319">
        <f t="shared" si="72"/>
        <v>6638289.9524115948</v>
      </c>
      <c r="BY60" s="319">
        <f t="shared" si="72"/>
        <v>6638289.9524115948</v>
      </c>
      <c r="BZ60" s="319">
        <f t="shared" si="72"/>
        <v>6638289.9524115948</v>
      </c>
      <c r="CA60" s="319">
        <f t="shared" si="72"/>
        <v>6638289.9524115948</v>
      </c>
      <c r="CB60" s="319">
        <f t="shared" si="72"/>
        <v>6638289.9524115948</v>
      </c>
      <c r="CC60" s="319">
        <f t="shared" si="72"/>
        <v>6638289.9524115948</v>
      </c>
      <c r="CD60" s="319">
        <f t="shared" si="72"/>
        <v>6638289.9524115948</v>
      </c>
      <c r="CE60" s="319">
        <f t="shared" si="72"/>
        <v>6638289.9524115948</v>
      </c>
      <c r="CF60" s="319">
        <f t="shared" si="72"/>
        <v>6638289.9524115948</v>
      </c>
      <c r="CG60" s="319">
        <f t="shared" si="72"/>
        <v>6638289.9524115948</v>
      </c>
      <c r="CH60" s="319">
        <f t="shared" si="72"/>
        <v>6638289.9524115948</v>
      </c>
      <c r="CI60" s="319">
        <f t="shared" si="72"/>
        <v>6638289.9524115948</v>
      </c>
      <c r="CJ60" s="319">
        <f t="shared" si="72"/>
        <v>6638289.9524115948</v>
      </c>
      <c r="CK60" s="319">
        <f t="shared" si="72"/>
        <v>6638289.9524115948</v>
      </c>
      <c r="CL60" s="319">
        <f t="shared" si="72"/>
        <v>6638289.9524115948</v>
      </c>
      <c r="CM60" s="359">
        <f t="shared" si="27"/>
        <v>6638289.9524115948</v>
      </c>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row>
    <row r="61" spans="1:178">
      <c r="A61" s="1047"/>
      <c r="B61" s="1047"/>
      <c r="C61" s="1047"/>
      <c r="D61" s="1047"/>
      <c r="E61" s="1048"/>
      <c r="F61" s="363" t="s">
        <v>185</v>
      </c>
      <c r="G61" s="482">
        <f t="shared" si="71"/>
        <v>13038234.966666667</v>
      </c>
      <c r="H61" s="482">
        <f t="shared" si="71"/>
        <v>13038234.966666667</v>
      </c>
      <c r="I61" s="482">
        <f t="shared" si="71"/>
        <v>13038234.966666667</v>
      </c>
      <c r="J61" s="482">
        <f t="shared" si="71"/>
        <v>13038234.966666667</v>
      </c>
      <c r="K61" s="482">
        <f t="shared" si="71"/>
        <v>13038234.966666667</v>
      </c>
      <c r="L61" s="482">
        <f t="shared" si="71"/>
        <v>13038234.966666667</v>
      </c>
      <c r="M61" s="482">
        <f t="shared" si="71"/>
        <v>13038234.966666667</v>
      </c>
      <c r="N61" s="482">
        <f t="shared" si="71"/>
        <v>13038234.966666667</v>
      </c>
      <c r="O61" s="482">
        <f t="shared" si="71"/>
        <v>13038234.966666667</v>
      </c>
      <c r="P61" s="482">
        <f t="shared" si="71"/>
        <v>13038234.966666667</v>
      </c>
      <c r="Q61" s="482">
        <f t="shared" si="71"/>
        <v>13038234.966666667</v>
      </c>
      <c r="R61" s="482">
        <f t="shared" si="71"/>
        <v>13038234.966666667</v>
      </c>
      <c r="S61" s="482">
        <f t="shared" si="71"/>
        <v>13038234.966666667</v>
      </c>
      <c r="T61" s="482">
        <f t="shared" si="71"/>
        <v>13038234.966666667</v>
      </c>
      <c r="U61" s="482">
        <f t="shared" si="71"/>
        <v>13038234.966666667</v>
      </c>
      <c r="V61" s="482">
        <f t="shared" si="71"/>
        <v>13038234.966666667</v>
      </c>
      <c r="W61" s="482">
        <f t="shared" si="71"/>
        <v>13038234.966666667</v>
      </c>
      <c r="X61" s="482">
        <f t="shared" si="71"/>
        <v>13038234.966666667</v>
      </c>
      <c r="Y61" s="482">
        <f t="shared" si="71"/>
        <v>13038234.966666667</v>
      </c>
      <c r="Z61" s="482">
        <f t="shared" si="71"/>
        <v>13038234.966666667</v>
      </c>
      <c r="AA61" s="482">
        <f t="shared" si="71"/>
        <v>13038234.966666667</v>
      </c>
      <c r="AB61" s="482">
        <f t="shared" si="71"/>
        <v>13038234.966666667</v>
      </c>
      <c r="AC61" s="482">
        <f t="shared" si="71"/>
        <v>13038234.966666667</v>
      </c>
      <c r="AD61" s="482">
        <f t="shared" si="71"/>
        <v>13038234.966666667</v>
      </c>
      <c r="AE61" s="482">
        <f t="shared" si="71"/>
        <v>13038234.966666667</v>
      </c>
      <c r="AF61" s="482">
        <f t="shared" si="71"/>
        <v>13038234.966666667</v>
      </c>
      <c r="AG61" s="482">
        <f t="shared" si="71"/>
        <v>13038234.966666667</v>
      </c>
      <c r="AH61" s="482">
        <f t="shared" si="71"/>
        <v>13038234.966666667</v>
      </c>
      <c r="AI61" s="482">
        <f t="shared" si="71"/>
        <v>13038234.966666667</v>
      </c>
      <c r="AJ61" s="482">
        <f t="shared" si="71"/>
        <v>13038234.966666667</v>
      </c>
      <c r="AK61" s="482">
        <f t="shared" si="71"/>
        <v>13038234.966666667</v>
      </c>
      <c r="AL61" s="482">
        <f t="shared" si="71"/>
        <v>13038234.966666667</v>
      </c>
      <c r="AM61" s="482">
        <f t="shared" si="71"/>
        <v>13038234.966666667</v>
      </c>
      <c r="AN61" s="482">
        <f t="shared" si="71"/>
        <v>13038234.966666667</v>
      </c>
      <c r="AO61" s="482">
        <f t="shared" si="71"/>
        <v>13038234.966666667</v>
      </c>
      <c r="AP61" s="482">
        <f t="shared" si="71"/>
        <v>13038234.966666667</v>
      </c>
      <c r="AQ61" s="482">
        <f t="shared" si="71"/>
        <v>13038234.966666667</v>
      </c>
      <c r="AR61" s="482">
        <f t="shared" si="71"/>
        <v>13038234.966666667</v>
      </c>
      <c r="AS61" s="482">
        <f t="shared" si="71"/>
        <v>13038234.966666667</v>
      </c>
      <c r="AT61" s="482">
        <f t="shared" si="71"/>
        <v>13038234.966666667</v>
      </c>
      <c r="AU61" s="319">
        <f t="shared" si="71"/>
        <v>13038234.966666667</v>
      </c>
      <c r="AV61" s="319">
        <f t="shared" si="71"/>
        <v>13038234.966666667</v>
      </c>
      <c r="AW61" s="319">
        <f t="shared" si="71"/>
        <v>13038234.966666667</v>
      </c>
      <c r="AX61" s="319">
        <f t="shared" si="71"/>
        <v>13038234.966666667</v>
      </c>
      <c r="AY61" s="319">
        <f t="shared" si="71"/>
        <v>13038234.966666667</v>
      </c>
      <c r="AZ61" s="319">
        <f t="shared" si="71"/>
        <v>13038234.966666667</v>
      </c>
      <c r="BA61" s="319">
        <f t="shared" si="71"/>
        <v>13038234.966666667</v>
      </c>
      <c r="BB61" s="319">
        <f t="shared" si="71"/>
        <v>13038234.966666667</v>
      </c>
      <c r="BC61" s="319">
        <f t="shared" si="71"/>
        <v>13038234.966666667</v>
      </c>
      <c r="BD61" s="319">
        <f t="shared" si="71"/>
        <v>13038234.966666667</v>
      </c>
      <c r="BE61" s="319">
        <f t="shared" si="71"/>
        <v>13038234.966666667</v>
      </c>
      <c r="BF61" s="319">
        <f t="shared" si="71"/>
        <v>13038234.966666667</v>
      </c>
      <c r="BG61" s="319">
        <f t="shared" si="71"/>
        <v>13038234.966666667</v>
      </c>
      <c r="BH61" s="319">
        <f t="shared" si="71"/>
        <v>13038234.966666667</v>
      </c>
      <c r="BI61" s="319">
        <f t="shared" si="71"/>
        <v>13038234.966666667</v>
      </c>
      <c r="BJ61" s="319">
        <f t="shared" si="71"/>
        <v>13038234.966666667</v>
      </c>
      <c r="BK61" s="319">
        <f t="shared" si="71"/>
        <v>13038234.966666667</v>
      </c>
      <c r="BL61" s="319">
        <f t="shared" si="71"/>
        <v>13038234.966666667</v>
      </c>
      <c r="BM61" s="319">
        <f t="shared" si="71"/>
        <v>13038234.966666667</v>
      </c>
      <c r="BN61" s="319">
        <f t="shared" si="71"/>
        <v>13038234.966666667</v>
      </c>
      <c r="BO61" s="319">
        <f t="shared" si="71"/>
        <v>13038234.966666667</v>
      </c>
      <c r="BP61" s="319">
        <f t="shared" si="71"/>
        <v>13038234.966666667</v>
      </c>
      <c r="BQ61" s="319">
        <f t="shared" si="71"/>
        <v>13038234.966666667</v>
      </c>
      <c r="BR61" s="319">
        <f t="shared" si="71"/>
        <v>13038234.966666667</v>
      </c>
      <c r="BS61" s="319">
        <f t="shared" si="72"/>
        <v>13038234.966666667</v>
      </c>
      <c r="BT61" s="319">
        <f t="shared" si="72"/>
        <v>13038234.966666667</v>
      </c>
      <c r="BU61" s="319">
        <f t="shared" si="72"/>
        <v>13038234.966666667</v>
      </c>
      <c r="BV61" s="319">
        <f t="shared" si="72"/>
        <v>13038234.966666667</v>
      </c>
      <c r="BW61" s="319">
        <f t="shared" si="72"/>
        <v>13038234.966666667</v>
      </c>
      <c r="BX61" s="319">
        <f t="shared" si="72"/>
        <v>13038234.966666667</v>
      </c>
      <c r="BY61" s="319">
        <f t="shared" si="72"/>
        <v>13038234.966666667</v>
      </c>
      <c r="BZ61" s="319">
        <f t="shared" si="72"/>
        <v>13038234.966666667</v>
      </c>
      <c r="CA61" s="319">
        <f t="shared" si="72"/>
        <v>13038234.966666667</v>
      </c>
      <c r="CB61" s="319">
        <f t="shared" si="72"/>
        <v>13038234.966666667</v>
      </c>
      <c r="CC61" s="319">
        <f t="shared" si="72"/>
        <v>13038234.966666667</v>
      </c>
      <c r="CD61" s="319">
        <f t="shared" si="72"/>
        <v>13038234.966666667</v>
      </c>
      <c r="CE61" s="319">
        <f t="shared" si="72"/>
        <v>13038234.966666667</v>
      </c>
      <c r="CF61" s="319">
        <f t="shared" si="72"/>
        <v>13038234.966666667</v>
      </c>
      <c r="CG61" s="319">
        <f t="shared" si="72"/>
        <v>13038234.966666667</v>
      </c>
      <c r="CH61" s="319">
        <f t="shared" si="72"/>
        <v>13038234.966666667</v>
      </c>
      <c r="CI61" s="319">
        <f t="shared" si="72"/>
        <v>13038234.966666667</v>
      </c>
      <c r="CJ61" s="319">
        <f t="shared" si="72"/>
        <v>13038234.966666667</v>
      </c>
      <c r="CK61" s="319">
        <f t="shared" si="72"/>
        <v>13038234.966666667</v>
      </c>
      <c r="CL61" s="319">
        <f t="shared" si="72"/>
        <v>13038234.966666667</v>
      </c>
      <c r="CM61" s="319">
        <f t="shared" si="27"/>
        <v>13038234.966666676</v>
      </c>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c r="FP61" s="58"/>
      <c r="FQ61" s="58"/>
      <c r="FR61" s="58"/>
      <c r="FS61" s="58"/>
      <c r="FT61" s="58"/>
      <c r="FU61" s="58"/>
      <c r="FV61" s="58"/>
    </row>
    <row r="62" spans="1:178">
      <c r="A62" s="1047"/>
      <c r="B62" s="1047"/>
      <c r="C62" s="1047"/>
      <c r="D62" s="1047"/>
      <c r="E62" s="1048"/>
      <c r="F62" s="486" t="s">
        <v>186</v>
      </c>
      <c r="G62" s="482">
        <f t="shared" ref="G62:BR62" si="73">G41</f>
        <v>596656258.48307002</v>
      </c>
      <c r="H62" s="482">
        <f t="shared" si="73"/>
        <v>596656258.48307002</v>
      </c>
      <c r="I62" s="482">
        <f t="shared" si="73"/>
        <v>596656258.48307002</v>
      </c>
      <c r="J62" s="482">
        <f t="shared" si="73"/>
        <v>596658180.75027001</v>
      </c>
      <c r="K62" s="482">
        <f t="shared" si="73"/>
        <v>597103849.24693668</v>
      </c>
      <c r="L62" s="482">
        <f t="shared" si="73"/>
        <v>597104490.00267005</v>
      </c>
      <c r="M62" s="482">
        <f t="shared" si="73"/>
        <v>597104490.00267005</v>
      </c>
      <c r="N62" s="482">
        <f t="shared" si="73"/>
        <v>598356231.16795301</v>
      </c>
      <c r="O62" s="482">
        <f t="shared" si="73"/>
        <v>597105130.75840342</v>
      </c>
      <c r="P62" s="482">
        <f t="shared" si="73"/>
        <v>598358634.00195301</v>
      </c>
      <c r="Q62" s="482">
        <f t="shared" si="73"/>
        <v>599609734.41150451</v>
      </c>
      <c r="R62" s="482">
        <f t="shared" si="73"/>
        <v>600860834.82105601</v>
      </c>
      <c r="S62" s="482">
        <f t="shared" si="73"/>
        <v>602112575.98633885</v>
      </c>
      <c r="T62" s="482">
        <f t="shared" si="73"/>
        <v>603365834.54621768</v>
      </c>
      <c r="U62" s="482">
        <f t="shared" si="73"/>
        <v>604617167.45126557</v>
      </c>
      <c r="V62" s="482">
        <f t="shared" si="73"/>
        <v>605970999.53958595</v>
      </c>
      <c r="W62" s="482">
        <f t="shared" si="73"/>
        <v>607184960.28433883</v>
      </c>
      <c r="X62" s="482">
        <f t="shared" si="73"/>
        <v>608398921.02909005</v>
      </c>
      <c r="Y62" s="482">
        <f t="shared" si="73"/>
        <v>609612881.77384305</v>
      </c>
      <c r="Z62" s="482">
        <f t="shared" si="73"/>
        <v>610826842.51859605</v>
      </c>
      <c r="AA62" s="482">
        <f t="shared" si="73"/>
        <v>612040803.26334727</v>
      </c>
      <c r="AB62" s="482">
        <f t="shared" si="73"/>
        <v>613254764.00810027</v>
      </c>
      <c r="AC62" s="482">
        <f t="shared" si="73"/>
        <v>614468724.75285327</v>
      </c>
      <c r="AD62" s="482">
        <f t="shared" si="73"/>
        <v>615682685.49760449</v>
      </c>
      <c r="AE62" s="482">
        <f t="shared" si="73"/>
        <v>616898338.19890332</v>
      </c>
      <c r="AF62" s="482">
        <f t="shared" si="73"/>
        <v>618110606.98710859</v>
      </c>
      <c r="AG62" s="482">
        <f t="shared" si="73"/>
        <v>619324993.75274801</v>
      </c>
      <c r="AH62" s="482">
        <f t="shared" si="73"/>
        <v>620538528.47661471</v>
      </c>
      <c r="AI62" s="482">
        <f t="shared" si="73"/>
        <v>621752489.22136581</v>
      </c>
      <c r="AJ62" s="482">
        <f t="shared" si="73"/>
        <v>622966449.96611881</v>
      </c>
      <c r="AK62" s="482">
        <f t="shared" si="73"/>
        <v>624180410.71087182</v>
      </c>
      <c r="AL62" s="482">
        <f t="shared" si="73"/>
        <v>625394371.45562291</v>
      </c>
      <c r="AM62" s="482">
        <f t="shared" si="73"/>
        <v>626608332.20037591</v>
      </c>
      <c r="AN62" s="482">
        <f t="shared" si="73"/>
        <v>627822292.94512713</v>
      </c>
      <c r="AO62" s="482">
        <f t="shared" si="73"/>
        <v>629036253.68988013</v>
      </c>
      <c r="AP62" s="482">
        <f t="shared" si="73"/>
        <v>630250214.43463314</v>
      </c>
      <c r="AQ62" s="482">
        <f t="shared" si="73"/>
        <v>631464175.17938435</v>
      </c>
      <c r="AR62" s="482">
        <f t="shared" si="73"/>
        <v>632678135.92413735</v>
      </c>
      <c r="AS62" s="482">
        <f t="shared" si="73"/>
        <v>633892096.66889036</v>
      </c>
      <c r="AT62" s="482">
        <f t="shared" si="73"/>
        <v>496551939.23666668</v>
      </c>
      <c r="AU62" s="319">
        <f t="shared" si="73"/>
        <v>604882051.02700007</v>
      </c>
      <c r="AV62" s="319">
        <f t="shared" si="73"/>
        <v>608097170.28598917</v>
      </c>
      <c r="AW62" s="319">
        <f t="shared" si="73"/>
        <v>587485736.12551749</v>
      </c>
      <c r="AX62" s="319">
        <f t="shared" si="73"/>
        <v>638052680.82726669</v>
      </c>
      <c r="AY62" s="319">
        <f t="shared" si="73"/>
        <v>691431417.57635081</v>
      </c>
      <c r="AZ62" s="319">
        <f t="shared" si="73"/>
        <v>706762765.7755214</v>
      </c>
      <c r="BA62" s="319">
        <f t="shared" si="73"/>
        <v>716527118.24002469</v>
      </c>
      <c r="BB62" s="319">
        <f t="shared" si="73"/>
        <v>705631981.07398736</v>
      </c>
      <c r="BC62" s="319">
        <f t="shared" si="73"/>
        <v>755808823.44955599</v>
      </c>
      <c r="BD62" s="319">
        <f t="shared" si="73"/>
        <v>715504399.1485126</v>
      </c>
      <c r="BE62" s="319">
        <f t="shared" si="73"/>
        <v>673765363.35763848</v>
      </c>
      <c r="BF62" s="319">
        <f t="shared" si="73"/>
        <v>666703442.28401363</v>
      </c>
      <c r="BG62" s="319">
        <f t="shared" si="73"/>
        <v>719040729.77666736</v>
      </c>
      <c r="BH62" s="319">
        <f t="shared" si="73"/>
        <v>646861327.37493384</v>
      </c>
      <c r="BI62" s="319">
        <f t="shared" si="73"/>
        <v>577517344.43789601</v>
      </c>
      <c r="BJ62" s="319">
        <f t="shared" si="73"/>
        <v>565390410.12479997</v>
      </c>
      <c r="BK62" s="319">
        <f t="shared" si="73"/>
        <v>597609095.86546659</v>
      </c>
      <c r="BL62" s="319">
        <f t="shared" si="73"/>
        <v>645645008.51446664</v>
      </c>
      <c r="BM62" s="319">
        <f t="shared" si="73"/>
        <v>596333534.27346671</v>
      </c>
      <c r="BN62" s="319">
        <f t="shared" si="73"/>
        <v>579247851.29653323</v>
      </c>
      <c r="BO62" s="319">
        <f t="shared" si="73"/>
        <v>681599895.16793323</v>
      </c>
      <c r="BP62" s="319">
        <f t="shared" si="73"/>
        <v>670370868.34053338</v>
      </c>
      <c r="BQ62" s="319">
        <f t="shared" si="73"/>
        <v>732009167.05319989</v>
      </c>
      <c r="BR62" s="319">
        <f t="shared" si="73"/>
        <v>634288631.48506665</v>
      </c>
      <c r="BS62" s="319">
        <f t="shared" ref="BS62:CL62" si="74">BS41</f>
        <v>610125984.50653338</v>
      </c>
      <c r="BT62" s="319">
        <f t="shared" si="74"/>
        <v>453097327.10240006</v>
      </c>
      <c r="BU62" s="319">
        <f t="shared" si="74"/>
        <v>544447263.21253335</v>
      </c>
      <c r="BV62" s="319">
        <f t="shared" si="74"/>
        <v>522098916.09293342</v>
      </c>
      <c r="BW62" s="319">
        <f t="shared" si="74"/>
        <v>395262050.97186667</v>
      </c>
      <c r="BX62" s="319">
        <f t="shared" si="74"/>
        <v>380175571.6512</v>
      </c>
      <c r="BY62" s="319">
        <f t="shared" si="74"/>
        <v>433936282.07346666</v>
      </c>
      <c r="BZ62" s="319">
        <f t="shared" si="74"/>
        <v>498987508.98940003</v>
      </c>
      <c r="CA62" s="319">
        <f t="shared" si="74"/>
        <v>521025798.98646665</v>
      </c>
      <c r="CB62" s="319">
        <f t="shared" si="74"/>
        <v>568085897.86393332</v>
      </c>
      <c r="CC62" s="319">
        <f t="shared" si="74"/>
        <v>609281445.56586671</v>
      </c>
      <c r="CD62" s="319">
        <f t="shared" si="74"/>
        <v>691496767.94159997</v>
      </c>
      <c r="CE62" s="319">
        <f t="shared" si="74"/>
        <v>802986057.22273326</v>
      </c>
      <c r="CF62" s="319">
        <f t="shared" si="74"/>
        <v>718990040.33786666</v>
      </c>
      <c r="CG62" s="319">
        <f t="shared" si="74"/>
        <v>611873073.66586661</v>
      </c>
      <c r="CH62" s="319">
        <f t="shared" si="74"/>
        <v>606309380.19126666</v>
      </c>
      <c r="CI62" s="319">
        <f t="shared" si="74"/>
        <v>655835107.13059986</v>
      </c>
      <c r="CJ62" s="319">
        <f t="shared" si="74"/>
        <v>731702199.28866673</v>
      </c>
      <c r="CK62" s="319">
        <f t="shared" si="74"/>
        <v>834454475.20999992</v>
      </c>
      <c r="CL62" s="319">
        <f t="shared" si="74"/>
        <v>896056456.80306661</v>
      </c>
      <c r="CM62" s="319">
        <f t="shared" si="27"/>
        <v>620952756.64289117</v>
      </c>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row>
    <row r="63" spans="1:178">
      <c r="A63" s="1047"/>
      <c r="B63" s="1047"/>
      <c r="C63" s="1047"/>
      <c r="D63" s="1047"/>
      <c r="E63" s="1048"/>
      <c r="F63" s="363" t="s">
        <v>187</v>
      </c>
      <c r="G63" s="482">
        <f t="shared" ref="G63:BR63" si="75">G45</f>
        <v>358251107.33333331</v>
      </c>
      <c r="H63" s="482">
        <f t="shared" si="75"/>
        <v>358251107.33333331</v>
      </c>
      <c r="I63" s="482">
        <f t="shared" si="75"/>
        <v>358251107.33333331</v>
      </c>
      <c r="J63" s="482">
        <f t="shared" si="75"/>
        <v>358251107.33333331</v>
      </c>
      <c r="K63" s="482">
        <f t="shared" si="75"/>
        <v>358251107.33333331</v>
      </c>
      <c r="L63" s="482">
        <f t="shared" si="75"/>
        <v>358251107.33333331</v>
      </c>
      <c r="M63" s="482">
        <f t="shared" si="75"/>
        <v>358251107.33333331</v>
      </c>
      <c r="N63" s="482">
        <f t="shared" si="75"/>
        <v>358251107.33333331</v>
      </c>
      <c r="O63" s="482">
        <f t="shared" si="75"/>
        <v>358251107.33333331</v>
      </c>
      <c r="P63" s="482">
        <f t="shared" si="75"/>
        <v>358251107.33333331</v>
      </c>
      <c r="Q63" s="482">
        <f t="shared" si="75"/>
        <v>358251107.33333331</v>
      </c>
      <c r="R63" s="482">
        <f t="shared" si="75"/>
        <v>358251107.33333331</v>
      </c>
      <c r="S63" s="482">
        <f t="shared" si="75"/>
        <v>358251107.33333331</v>
      </c>
      <c r="T63" s="482">
        <f t="shared" si="75"/>
        <v>358251107.33333331</v>
      </c>
      <c r="U63" s="482">
        <f t="shared" si="75"/>
        <v>358251107.33333331</v>
      </c>
      <c r="V63" s="482">
        <f t="shared" si="75"/>
        <v>358251107.33333331</v>
      </c>
      <c r="W63" s="482">
        <f t="shared" si="75"/>
        <v>358251107.33333331</v>
      </c>
      <c r="X63" s="482">
        <f t="shared" si="75"/>
        <v>358251107.33333331</v>
      </c>
      <c r="Y63" s="482">
        <f t="shared" si="75"/>
        <v>358251107.33333331</v>
      </c>
      <c r="Z63" s="482">
        <f t="shared" si="75"/>
        <v>358251107.33333331</v>
      </c>
      <c r="AA63" s="482">
        <f t="shared" si="75"/>
        <v>358251107.33333331</v>
      </c>
      <c r="AB63" s="482">
        <f t="shared" si="75"/>
        <v>358251107.33333331</v>
      </c>
      <c r="AC63" s="482">
        <f t="shared" si="75"/>
        <v>358251107.33333331</v>
      </c>
      <c r="AD63" s="482">
        <f t="shared" si="75"/>
        <v>358251107.33333331</v>
      </c>
      <c r="AE63" s="482">
        <f t="shared" si="75"/>
        <v>358251107.33333331</v>
      </c>
      <c r="AF63" s="482">
        <f t="shared" si="75"/>
        <v>358251107.33333331</v>
      </c>
      <c r="AG63" s="482">
        <f t="shared" si="75"/>
        <v>358251107.33333331</v>
      </c>
      <c r="AH63" s="482">
        <f t="shared" si="75"/>
        <v>358251107.33333331</v>
      </c>
      <c r="AI63" s="482">
        <f t="shared" si="75"/>
        <v>358251107.33333331</v>
      </c>
      <c r="AJ63" s="482">
        <f t="shared" si="75"/>
        <v>358251107.33333331</v>
      </c>
      <c r="AK63" s="482">
        <f t="shared" si="75"/>
        <v>358251107.33333331</v>
      </c>
      <c r="AL63" s="482">
        <f t="shared" si="75"/>
        <v>358251107.33333331</v>
      </c>
      <c r="AM63" s="482">
        <f t="shared" si="75"/>
        <v>358251107.33333331</v>
      </c>
      <c r="AN63" s="482">
        <f t="shared" si="75"/>
        <v>358251107.33333331</v>
      </c>
      <c r="AO63" s="482">
        <f t="shared" si="75"/>
        <v>358251107.33333331</v>
      </c>
      <c r="AP63" s="482">
        <f t="shared" si="75"/>
        <v>358251107.33333331</v>
      </c>
      <c r="AQ63" s="482">
        <f t="shared" si="75"/>
        <v>358251107.33333331</v>
      </c>
      <c r="AR63" s="482">
        <f t="shared" si="75"/>
        <v>358251107.33333331</v>
      </c>
      <c r="AS63" s="482">
        <f t="shared" si="75"/>
        <v>358251107.33333331</v>
      </c>
      <c r="AT63" s="482">
        <f t="shared" si="75"/>
        <v>358251107.33333331</v>
      </c>
      <c r="AU63" s="319">
        <f t="shared" si="75"/>
        <v>358251107.33333331</v>
      </c>
      <c r="AV63" s="319">
        <f t="shared" si="75"/>
        <v>358251107.33333331</v>
      </c>
      <c r="AW63" s="319">
        <f t="shared" si="75"/>
        <v>358251107.33333331</v>
      </c>
      <c r="AX63" s="319">
        <f t="shared" si="75"/>
        <v>358251107.33333331</v>
      </c>
      <c r="AY63" s="319">
        <f t="shared" si="75"/>
        <v>358251107.33333331</v>
      </c>
      <c r="AZ63" s="319">
        <f t="shared" si="75"/>
        <v>358251107.33333331</v>
      </c>
      <c r="BA63" s="319">
        <f t="shared" si="75"/>
        <v>358251107.33333331</v>
      </c>
      <c r="BB63" s="319">
        <f t="shared" si="75"/>
        <v>358251107.33333331</v>
      </c>
      <c r="BC63" s="319">
        <f t="shared" si="75"/>
        <v>358251107.33333331</v>
      </c>
      <c r="BD63" s="319">
        <f t="shared" si="75"/>
        <v>358251107.33333331</v>
      </c>
      <c r="BE63" s="319">
        <f t="shared" si="75"/>
        <v>358251107.33333331</v>
      </c>
      <c r="BF63" s="319">
        <f t="shared" si="75"/>
        <v>358251107.33333331</v>
      </c>
      <c r="BG63" s="319">
        <f t="shared" si="75"/>
        <v>358251107.33333331</v>
      </c>
      <c r="BH63" s="319">
        <f t="shared" si="75"/>
        <v>358251107.33333331</v>
      </c>
      <c r="BI63" s="319">
        <f t="shared" si="75"/>
        <v>358251107.33333331</v>
      </c>
      <c r="BJ63" s="319">
        <f t="shared" si="75"/>
        <v>358251107.33333331</v>
      </c>
      <c r="BK63" s="319">
        <f t="shared" si="75"/>
        <v>358251107.33333331</v>
      </c>
      <c r="BL63" s="319">
        <f t="shared" si="75"/>
        <v>358251107.33333331</v>
      </c>
      <c r="BM63" s="319">
        <f t="shared" si="75"/>
        <v>358251107.33333331</v>
      </c>
      <c r="BN63" s="319">
        <f t="shared" si="75"/>
        <v>358251107.33333331</v>
      </c>
      <c r="BO63" s="319">
        <f t="shared" si="75"/>
        <v>358251107.33333331</v>
      </c>
      <c r="BP63" s="319">
        <f t="shared" si="75"/>
        <v>358251107.33333331</v>
      </c>
      <c r="BQ63" s="319">
        <f t="shared" si="75"/>
        <v>358251107.33333331</v>
      </c>
      <c r="BR63" s="319">
        <f t="shared" si="75"/>
        <v>358251107.33333331</v>
      </c>
      <c r="BS63" s="319">
        <f t="shared" ref="BS63:CL63" si="76">BS45</f>
        <v>358251107.33333331</v>
      </c>
      <c r="BT63" s="319">
        <f t="shared" si="76"/>
        <v>358251107.33333331</v>
      </c>
      <c r="BU63" s="319">
        <f t="shared" si="76"/>
        <v>358251107.33333331</v>
      </c>
      <c r="BV63" s="319">
        <f t="shared" si="76"/>
        <v>358251107.33333331</v>
      </c>
      <c r="BW63" s="319">
        <f t="shared" si="76"/>
        <v>358251107.33333331</v>
      </c>
      <c r="BX63" s="319">
        <f t="shared" si="76"/>
        <v>358251107.33333331</v>
      </c>
      <c r="BY63" s="319">
        <f t="shared" si="76"/>
        <v>358251107.33333331</v>
      </c>
      <c r="BZ63" s="319">
        <f t="shared" si="76"/>
        <v>358251107.33333331</v>
      </c>
      <c r="CA63" s="319">
        <f t="shared" si="76"/>
        <v>358251107.33333331</v>
      </c>
      <c r="CB63" s="319">
        <f t="shared" si="76"/>
        <v>358251107.33333331</v>
      </c>
      <c r="CC63" s="319">
        <f t="shared" si="76"/>
        <v>358251107.33333331</v>
      </c>
      <c r="CD63" s="319">
        <f t="shared" si="76"/>
        <v>358251107.33333331</v>
      </c>
      <c r="CE63" s="319">
        <f t="shared" si="76"/>
        <v>358251107.33333331</v>
      </c>
      <c r="CF63" s="319">
        <f t="shared" si="76"/>
        <v>358251107.33333331</v>
      </c>
      <c r="CG63" s="319">
        <f t="shared" si="76"/>
        <v>358251107.33333331</v>
      </c>
      <c r="CH63" s="319">
        <f t="shared" si="76"/>
        <v>358251107.33333331</v>
      </c>
      <c r="CI63" s="319">
        <f t="shared" si="76"/>
        <v>358251107.33333331</v>
      </c>
      <c r="CJ63" s="319">
        <f t="shared" si="76"/>
        <v>358251107.33333331</v>
      </c>
      <c r="CK63" s="319">
        <f t="shared" si="76"/>
        <v>358251107.33333331</v>
      </c>
      <c r="CL63" s="319">
        <f t="shared" si="76"/>
        <v>358251107.33333331</v>
      </c>
      <c r="CM63" s="319">
        <f t="shared" si="27"/>
        <v>358251107.3333329</v>
      </c>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c r="FP63" s="58"/>
      <c r="FQ63" s="58"/>
      <c r="FR63" s="58"/>
      <c r="FS63" s="58"/>
      <c r="FT63" s="58"/>
      <c r="FU63" s="58"/>
      <c r="FV63" s="58"/>
    </row>
    <row r="64" spans="1:178">
      <c r="A64" s="1047"/>
      <c r="B64" s="1047"/>
      <c r="C64" s="1047"/>
      <c r="D64" s="1047"/>
      <c r="E64" s="1048"/>
      <c r="F64" s="363" t="s">
        <v>188</v>
      </c>
      <c r="G64" s="482">
        <f t="shared" ref="G64:BR64" si="77">G44</f>
        <v>906669362.66666663</v>
      </c>
      <c r="H64" s="482">
        <f t="shared" si="77"/>
        <v>906669362.66666663</v>
      </c>
      <c r="I64" s="482">
        <f t="shared" si="77"/>
        <v>906669362.66666663</v>
      </c>
      <c r="J64" s="482">
        <f t="shared" si="77"/>
        <v>906669362.66666663</v>
      </c>
      <c r="K64" s="482">
        <f t="shared" si="77"/>
        <v>906669362.66666663</v>
      </c>
      <c r="L64" s="482">
        <f t="shared" si="77"/>
        <v>906669362.66666663</v>
      </c>
      <c r="M64" s="482">
        <f t="shared" si="77"/>
        <v>906669362.66666663</v>
      </c>
      <c r="N64" s="482">
        <f t="shared" si="77"/>
        <v>906669362.66666663</v>
      </c>
      <c r="O64" s="482">
        <f t="shared" si="77"/>
        <v>906669362.66666663</v>
      </c>
      <c r="P64" s="482">
        <f t="shared" si="77"/>
        <v>906669362.66666663</v>
      </c>
      <c r="Q64" s="482">
        <f t="shared" si="77"/>
        <v>906669362.66666663</v>
      </c>
      <c r="R64" s="482">
        <f t="shared" si="77"/>
        <v>906669362.66666663</v>
      </c>
      <c r="S64" s="482">
        <f t="shared" si="77"/>
        <v>906669362.66666663</v>
      </c>
      <c r="T64" s="482">
        <f t="shared" si="77"/>
        <v>906669362.66666663</v>
      </c>
      <c r="U64" s="482">
        <f t="shared" si="77"/>
        <v>906669362.66666663</v>
      </c>
      <c r="V64" s="482">
        <f t="shared" si="77"/>
        <v>906669362.66666663</v>
      </c>
      <c r="W64" s="482">
        <f t="shared" si="77"/>
        <v>906669362.66666663</v>
      </c>
      <c r="X64" s="482">
        <f t="shared" si="77"/>
        <v>906669362.66666663</v>
      </c>
      <c r="Y64" s="482">
        <f t="shared" si="77"/>
        <v>906669362.66666663</v>
      </c>
      <c r="Z64" s="482">
        <f t="shared" si="77"/>
        <v>906669362.66666663</v>
      </c>
      <c r="AA64" s="482">
        <f t="shared" si="77"/>
        <v>906669362.66666663</v>
      </c>
      <c r="AB64" s="482">
        <f t="shared" si="77"/>
        <v>906669362.66666663</v>
      </c>
      <c r="AC64" s="482">
        <f t="shared" si="77"/>
        <v>906669362.66666663</v>
      </c>
      <c r="AD64" s="482">
        <f t="shared" si="77"/>
        <v>906669362.66666663</v>
      </c>
      <c r="AE64" s="482">
        <f t="shared" si="77"/>
        <v>906669362.66666663</v>
      </c>
      <c r="AF64" s="482">
        <f t="shared" si="77"/>
        <v>906669362.66666663</v>
      </c>
      <c r="AG64" s="482">
        <f t="shared" si="77"/>
        <v>906669362.66666663</v>
      </c>
      <c r="AH64" s="482">
        <f t="shared" si="77"/>
        <v>906669362.66666663</v>
      </c>
      <c r="AI64" s="482">
        <f t="shared" si="77"/>
        <v>906669362.66666663</v>
      </c>
      <c r="AJ64" s="482">
        <f t="shared" si="77"/>
        <v>906669362.66666663</v>
      </c>
      <c r="AK64" s="482">
        <f t="shared" si="77"/>
        <v>906669362.66666663</v>
      </c>
      <c r="AL64" s="482">
        <f t="shared" si="77"/>
        <v>906669362.66666663</v>
      </c>
      <c r="AM64" s="482">
        <f t="shared" si="77"/>
        <v>906669362.66666663</v>
      </c>
      <c r="AN64" s="482">
        <f t="shared" si="77"/>
        <v>906669362.66666663</v>
      </c>
      <c r="AO64" s="482">
        <f t="shared" si="77"/>
        <v>906669362.66666663</v>
      </c>
      <c r="AP64" s="482">
        <f t="shared" si="77"/>
        <v>906669362.66666663</v>
      </c>
      <c r="AQ64" s="482">
        <f t="shared" si="77"/>
        <v>906669362.66666663</v>
      </c>
      <c r="AR64" s="482">
        <f t="shared" si="77"/>
        <v>906669362.66666663</v>
      </c>
      <c r="AS64" s="482">
        <f t="shared" si="77"/>
        <v>906669362.66666663</v>
      </c>
      <c r="AT64" s="482">
        <f t="shared" si="77"/>
        <v>906669362.66666663</v>
      </c>
      <c r="AU64" s="319">
        <f t="shared" si="77"/>
        <v>906669362.66666663</v>
      </c>
      <c r="AV64" s="319">
        <f t="shared" si="77"/>
        <v>906669362.66666663</v>
      </c>
      <c r="AW64" s="319">
        <f t="shared" si="77"/>
        <v>906669362.66666663</v>
      </c>
      <c r="AX64" s="319">
        <f t="shared" si="77"/>
        <v>906669362.66666663</v>
      </c>
      <c r="AY64" s="319">
        <f t="shared" si="77"/>
        <v>906669362.66666663</v>
      </c>
      <c r="AZ64" s="319">
        <f t="shared" si="77"/>
        <v>906669362.66666663</v>
      </c>
      <c r="BA64" s="319">
        <f t="shared" si="77"/>
        <v>906669362.66666663</v>
      </c>
      <c r="BB64" s="319">
        <f t="shared" si="77"/>
        <v>906669362.66666663</v>
      </c>
      <c r="BC64" s="319">
        <f t="shared" si="77"/>
        <v>906669362.66666663</v>
      </c>
      <c r="BD64" s="319">
        <f t="shared" si="77"/>
        <v>906669362.66666663</v>
      </c>
      <c r="BE64" s="319">
        <f t="shared" si="77"/>
        <v>906669362.66666663</v>
      </c>
      <c r="BF64" s="319">
        <f t="shared" si="77"/>
        <v>906669362.66666663</v>
      </c>
      <c r="BG64" s="319">
        <f t="shared" si="77"/>
        <v>906669362.66666663</v>
      </c>
      <c r="BH64" s="319">
        <f t="shared" si="77"/>
        <v>906669362.66666663</v>
      </c>
      <c r="BI64" s="319">
        <f t="shared" si="77"/>
        <v>906669362.66666663</v>
      </c>
      <c r="BJ64" s="319">
        <f t="shared" si="77"/>
        <v>906669362.66666663</v>
      </c>
      <c r="BK64" s="319">
        <f t="shared" si="77"/>
        <v>906669362.66666663</v>
      </c>
      <c r="BL64" s="319">
        <f t="shared" si="77"/>
        <v>906669362.66666663</v>
      </c>
      <c r="BM64" s="319">
        <f t="shared" si="77"/>
        <v>906669362.66666663</v>
      </c>
      <c r="BN64" s="319">
        <f t="shared" si="77"/>
        <v>906669362.66666663</v>
      </c>
      <c r="BO64" s="319">
        <f t="shared" si="77"/>
        <v>906669362.66666663</v>
      </c>
      <c r="BP64" s="319">
        <f t="shared" si="77"/>
        <v>906669362.66666663</v>
      </c>
      <c r="BQ64" s="319">
        <f t="shared" si="77"/>
        <v>906669362.66666663</v>
      </c>
      <c r="BR64" s="319">
        <f t="shared" si="77"/>
        <v>906669362.66666663</v>
      </c>
      <c r="BS64" s="319">
        <f t="shared" ref="BS64:CL64" si="78">BS44</f>
        <v>906669362.66666663</v>
      </c>
      <c r="BT64" s="319">
        <f t="shared" si="78"/>
        <v>906669362.66666663</v>
      </c>
      <c r="BU64" s="319">
        <f t="shared" si="78"/>
        <v>906669362.66666663</v>
      </c>
      <c r="BV64" s="319">
        <f t="shared" si="78"/>
        <v>906669362.66666663</v>
      </c>
      <c r="BW64" s="319">
        <f t="shared" si="78"/>
        <v>906669362.66666663</v>
      </c>
      <c r="BX64" s="319">
        <f t="shared" si="78"/>
        <v>906669362.66666663</v>
      </c>
      <c r="BY64" s="319">
        <f t="shared" si="78"/>
        <v>906669362.66666663</v>
      </c>
      <c r="BZ64" s="319">
        <f t="shared" si="78"/>
        <v>906669362.66666663</v>
      </c>
      <c r="CA64" s="319">
        <f t="shared" si="78"/>
        <v>906669362.66666663</v>
      </c>
      <c r="CB64" s="319">
        <f t="shared" si="78"/>
        <v>906669362.66666663</v>
      </c>
      <c r="CC64" s="319">
        <f t="shared" si="78"/>
        <v>906669362.66666663</v>
      </c>
      <c r="CD64" s="319">
        <f t="shared" si="78"/>
        <v>906669362.66666663</v>
      </c>
      <c r="CE64" s="319">
        <f t="shared" si="78"/>
        <v>906669362.66666663</v>
      </c>
      <c r="CF64" s="319">
        <f t="shared" si="78"/>
        <v>906669362.66666663</v>
      </c>
      <c r="CG64" s="319">
        <f t="shared" si="78"/>
        <v>906669362.66666663</v>
      </c>
      <c r="CH64" s="319">
        <f t="shared" si="78"/>
        <v>906669362.66666663</v>
      </c>
      <c r="CI64" s="319">
        <f t="shared" si="78"/>
        <v>906669362.66666663</v>
      </c>
      <c r="CJ64" s="319">
        <f t="shared" si="78"/>
        <v>906669362.66666663</v>
      </c>
      <c r="CK64" s="319">
        <f t="shared" si="78"/>
        <v>906669362.66666663</v>
      </c>
      <c r="CL64" s="319">
        <f t="shared" si="78"/>
        <v>906669362.66666663</v>
      </c>
      <c r="CM64" s="319">
        <f t="shared" si="27"/>
        <v>906669362.66666627</v>
      </c>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c r="FP64" s="58"/>
      <c r="FQ64" s="58"/>
      <c r="FR64" s="58"/>
      <c r="FS64" s="58"/>
      <c r="FT64" s="58"/>
      <c r="FU64" s="58"/>
      <c r="FV64" s="58"/>
    </row>
    <row r="65" spans="1:178">
      <c r="A65" s="1047"/>
      <c r="B65" s="1047"/>
      <c r="C65" s="1047"/>
      <c r="D65" s="1047"/>
      <c r="E65" s="1048"/>
      <c r="F65" s="363" t="s">
        <v>189</v>
      </c>
      <c r="G65" s="482">
        <f t="shared" ref="G65:AS65" si="79">SUM(G60:G64)</f>
        <v>1881253253.4021482</v>
      </c>
      <c r="H65" s="482">
        <f t="shared" si="79"/>
        <v>1881253253.4021482</v>
      </c>
      <c r="I65" s="482">
        <f t="shared" si="79"/>
        <v>1881253253.4021482</v>
      </c>
      <c r="J65" s="482">
        <f t="shared" si="79"/>
        <v>1881255175.6693482</v>
      </c>
      <c r="K65" s="482">
        <f t="shared" si="79"/>
        <v>1881700844.1660147</v>
      </c>
      <c r="L65" s="482">
        <f t="shared" si="79"/>
        <v>1881701484.9217482</v>
      </c>
      <c r="M65" s="482">
        <f t="shared" si="79"/>
        <v>1881701484.9217482</v>
      </c>
      <c r="N65" s="482">
        <f t="shared" si="79"/>
        <v>1882953226.0870314</v>
      </c>
      <c r="O65" s="482">
        <f t="shared" si="79"/>
        <v>1881702125.6774817</v>
      </c>
      <c r="P65" s="482">
        <f t="shared" si="79"/>
        <v>1882955628.921031</v>
      </c>
      <c r="Q65" s="482">
        <f t="shared" si="79"/>
        <v>1884206729.3305826</v>
      </c>
      <c r="R65" s="482">
        <f t="shared" si="79"/>
        <v>1885457829.7401342</v>
      </c>
      <c r="S65" s="482">
        <f t="shared" si="79"/>
        <v>1886709570.905417</v>
      </c>
      <c r="T65" s="482">
        <f t="shared" si="79"/>
        <v>1887962829.4652958</v>
      </c>
      <c r="U65" s="482">
        <f t="shared" si="79"/>
        <v>1889214162.3703437</v>
      </c>
      <c r="V65" s="482">
        <f t="shared" si="79"/>
        <v>1890567994.4586639</v>
      </c>
      <c r="W65" s="482">
        <f t="shared" si="79"/>
        <v>1891781955.2034168</v>
      </c>
      <c r="X65" s="482">
        <f t="shared" si="79"/>
        <v>1892995915.9481683</v>
      </c>
      <c r="Y65" s="482">
        <f t="shared" si="79"/>
        <v>1894209876.6929212</v>
      </c>
      <c r="Z65" s="482">
        <f t="shared" si="79"/>
        <v>1895423837.437674</v>
      </c>
      <c r="AA65" s="482">
        <f t="shared" si="79"/>
        <v>1896637798.1824255</v>
      </c>
      <c r="AB65" s="482">
        <f t="shared" si="79"/>
        <v>1897851758.9271784</v>
      </c>
      <c r="AC65" s="482">
        <f t="shared" si="79"/>
        <v>1899065719.6719313</v>
      </c>
      <c r="AD65" s="482">
        <f t="shared" si="79"/>
        <v>1900279680.4166827</v>
      </c>
      <c r="AE65" s="482">
        <f t="shared" si="79"/>
        <v>1901495333.1179814</v>
      </c>
      <c r="AF65" s="482">
        <f t="shared" si="79"/>
        <v>1902707601.9061866</v>
      </c>
      <c r="AG65" s="482">
        <f t="shared" si="79"/>
        <v>1903921988.6718264</v>
      </c>
      <c r="AH65" s="482">
        <f t="shared" si="79"/>
        <v>1905135523.3956928</v>
      </c>
      <c r="AI65" s="482">
        <f t="shared" si="79"/>
        <v>1906349484.1404438</v>
      </c>
      <c r="AJ65" s="482">
        <f t="shared" si="79"/>
        <v>1907563444.8851972</v>
      </c>
      <c r="AK65" s="482">
        <f t="shared" si="79"/>
        <v>1908777405.62995</v>
      </c>
      <c r="AL65" s="482">
        <f t="shared" si="79"/>
        <v>1909991366.374701</v>
      </c>
      <c r="AM65" s="482">
        <f t="shared" si="79"/>
        <v>1911205327.1194539</v>
      </c>
      <c r="AN65" s="482">
        <f t="shared" si="79"/>
        <v>1912419287.8642054</v>
      </c>
      <c r="AO65" s="482">
        <f t="shared" si="79"/>
        <v>1913633248.6089582</v>
      </c>
      <c r="AP65" s="482">
        <f t="shared" si="79"/>
        <v>1914847209.3537111</v>
      </c>
      <c r="AQ65" s="482">
        <f t="shared" si="79"/>
        <v>1916061170.0984626</v>
      </c>
      <c r="AR65" s="482">
        <f t="shared" si="79"/>
        <v>1917275130.8432155</v>
      </c>
      <c r="AS65" s="482">
        <f t="shared" si="79"/>
        <v>1918489091.5879683</v>
      </c>
      <c r="AT65" s="482">
        <f>SUM(AT60:AT64)</f>
        <v>1781148934.155745</v>
      </c>
      <c r="AU65" s="319">
        <f>SUM(AU60:AU64)</f>
        <v>1889479045.9460783</v>
      </c>
      <c r="AV65" s="319">
        <f t="shared" ref="AV65:CL65" si="80">SUM(AV60:AV64)</f>
        <v>1892694165.2050672</v>
      </c>
      <c r="AW65" s="319">
        <f t="shared" si="80"/>
        <v>1872082731.0445957</v>
      </c>
      <c r="AX65" s="319">
        <f t="shared" si="80"/>
        <v>1922649675.746345</v>
      </c>
      <c r="AY65" s="319">
        <f t="shared" si="80"/>
        <v>1976028412.495429</v>
      </c>
      <c r="AZ65" s="319">
        <f t="shared" si="80"/>
        <v>1991359760.6945996</v>
      </c>
      <c r="BA65" s="319">
        <f t="shared" si="80"/>
        <v>2001124113.1591029</v>
      </c>
      <c r="BB65" s="319">
        <f t="shared" si="80"/>
        <v>1990228975.9930654</v>
      </c>
      <c r="BC65" s="319">
        <f t="shared" si="80"/>
        <v>2040405818.3686342</v>
      </c>
      <c r="BD65" s="319">
        <f t="shared" si="80"/>
        <v>2000101394.0675907</v>
      </c>
      <c r="BE65" s="319">
        <f t="shared" si="80"/>
        <v>1958362358.2767167</v>
      </c>
      <c r="BF65" s="319">
        <f t="shared" si="80"/>
        <v>1951300437.2030916</v>
      </c>
      <c r="BG65" s="319">
        <f t="shared" si="80"/>
        <v>2003637724.6957455</v>
      </c>
      <c r="BH65" s="319">
        <f t="shared" si="80"/>
        <v>1931458322.2940121</v>
      </c>
      <c r="BI65" s="319">
        <f t="shared" si="80"/>
        <v>1862114339.3569741</v>
      </c>
      <c r="BJ65" s="319">
        <f t="shared" si="80"/>
        <v>1849987405.0438781</v>
      </c>
      <c r="BK65" s="319">
        <f t="shared" si="80"/>
        <v>1882206090.7845449</v>
      </c>
      <c r="BL65" s="319">
        <f t="shared" si="80"/>
        <v>1930242003.4335446</v>
      </c>
      <c r="BM65" s="319">
        <f t="shared" si="80"/>
        <v>1880930529.1925449</v>
      </c>
      <c r="BN65" s="319">
        <f t="shared" si="80"/>
        <v>1863844846.2156115</v>
      </c>
      <c r="BO65" s="319">
        <f t="shared" si="80"/>
        <v>1966196890.0870113</v>
      </c>
      <c r="BP65" s="319">
        <f t="shared" si="80"/>
        <v>1954967863.2596116</v>
      </c>
      <c r="BQ65" s="319">
        <f t="shared" si="80"/>
        <v>2016606161.9722781</v>
      </c>
      <c r="BR65" s="319">
        <f t="shared" si="80"/>
        <v>1918885626.4041448</v>
      </c>
      <c r="BS65" s="319">
        <f t="shared" si="80"/>
        <v>1894722979.4256115</v>
      </c>
      <c r="BT65" s="319">
        <f t="shared" si="80"/>
        <v>1737694322.0214782</v>
      </c>
      <c r="BU65" s="319">
        <f t="shared" si="80"/>
        <v>1829044258.1316113</v>
      </c>
      <c r="BV65" s="319">
        <f t="shared" si="80"/>
        <v>1806695911.0120115</v>
      </c>
      <c r="BW65" s="319">
        <f t="shared" si="80"/>
        <v>1679859045.890945</v>
      </c>
      <c r="BX65" s="319">
        <f t="shared" si="80"/>
        <v>1664772566.5702782</v>
      </c>
      <c r="BY65" s="319">
        <f t="shared" si="80"/>
        <v>1718533276.9925447</v>
      </c>
      <c r="BZ65" s="319">
        <f t="shared" si="80"/>
        <v>1783584503.9084783</v>
      </c>
      <c r="CA65" s="319">
        <f t="shared" si="80"/>
        <v>1805622793.9055448</v>
      </c>
      <c r="CB65" s="319">
        <f t="shared" si="80"/>
        <v>1852682892.7830114</v>
      </c>
      <c r="CC65" s="319">
        <f t="shared" si="80"/>
        <v>1893878440.4849448</v>
      </c>
      <c r="CD65" s="319">
        <f t="shared" si="80"/>
        <v>1976093762.8606782</v>
      </c>
      <c r="CE65" s="319">
        <f t="shared" si="80"/>
        <v>2087583052.1418114</v>
      </c>
      <c r="CF65" s="319">
        <f t="shared" si="80"/>
        <v>2003587035.2569447</v>
      </c>
      <c r="CG65" s="319">
        <f t="shared" si="80"/>
        <v>1896470068.5849447</v>
      </c>
      <c r="CH65" s="319">
        <f t="shared" si="80"/>
        <v>1890906375.1103449</v>
      </c>
      <c r="CI65" s="319">
        <f t="shared" si="80"/>
        <v>1940432102.0496778</v>
      </c>
      <c r="CJ65" s="319">
        <f t="shared" si="80"/>
        <v>2016299194.2077451</v>
      </c>
      <c r="CK65" s="319">
        <f t="shared" si="80"/>
        <v>2119051470.1290779</v>
      </c>
      <c r="CL65" s="319">
        <f t="shared" si="80"/>
        <v>2180653451.7221446</v>
      </c>
      <c r="CM65" s="319">
        <f t="shared" si="27"/>
        <v>1905549751.56197</v>
      </c>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row>
    <row r="66" spans="1:178">
      <c r="A66" s="1047"/>
      <c r="B66" s="1047"/>
      <c r="C66" s="1047"/>
      <c r="D66" s="1047"/>
      <c r="E66" s="1048"/>
      <c r="F66" s="363" t="s">
        <v>190</v>
      </c>
      <c r="G66" s="482">
        <f t="shared" ref="G66:BR66" si="81">(0.101511101973684*G17*0.85*G3/0.685)+(0.20964*G16*0.5/0.82)</f>
        <v>169990119.83868295</v>
      </c>
      <c r="H66" s="482">
        <f t="shared" si="81"/>
        <v>141815075.48441201</v>
      </c>
      <c r="I66" s="482">
        <f t="shared" si="81"/>
        <v>130039626.89320979</v>
      </c>
      <c r="J66" s="482">
        <f t="shared" si="81"/>
        <v>99491302.445694923</v>
      </c>
      <c r="K66" s="482">
        <f t="shared" si="81"/>
        <v>105227618.82138991</v>
      </c>
      <c r="L66" s="482">
        <f t="shared" si="81"/>
        <v>117760384.21954256</v>
      </c>
      <c r="M66" s="482">
        <f t="shared" si="81"/>
        <v>108759881.54974881</v>
      </c>
      <c r="N66" s="482">
        <f t="shared" si="81"/>
        <v>111753666.56687573</v>
      </c>
      <c r="O66" s="482">
        <f t="shared" si="81"/>
        <v>97425023.843466654</v>
      </c>
      <c r="P66" s="482">
        <f t="shared" si="81"/>
        <v>94745482.332943887</v>
      </c>
      <c r="Q66" s="482">
        <f t="shared" si="81"/>
        <v>89540450.064354107</v>
      </c>
      <c r="R66" s="482">
        <f t="shared" si="81"/>
        <v>78593075.153793082</v>
      </c>
      <c r="S66" s="482">
        <f t="shared" si="81"/>
        <v>88274905.137146458</v>
      </c>
      <c r="T66" s="482">
        <f t="shared" si="81"/>
        <v>98490231.235820606</v>
      </c>
      <c r="U66" s="482">
        <f t="shared" si="81"/>
        <v>115342458.3605893</v>
      </c>
      <c r="V66" s="482">
        <f t="shared" si="81"/>
        <v>87506259.476205006</v>
      </c>
      <c r="W66" s="482">
        <f t="shared" si="81"/>
        <v>73078328.727835655</v>
      </c>
      <c r="X66" s="482">
        <f t="shared" si="81"/>
        <v>72653867.344194487</v>
      </c>
      <c r="Y66" s="482">
        <f t="shared" si="81"/>
        <v>80023718.978742957</v>
      </c>
      <c r="Z66" s="482">
        <f t="shared" si="81"/>
        <v>81800446.717347145</v>
      </c>
      <c r="AA66" s="482">
        <f t="shared" si="81"/>
        <v>83366821.911845967</v>
      </c>
      <c r="AB66" s="482">
        <f t="shared" si="81"/>
        <v>74284099.561011016</v>
      </c>
      <c r="AC66" s="482">
        <f t="shared" si="81"/>
        <v>71722306.077442184</v>
      </c>
      <c r="AD66" s="482">
        <f t="shared" si="81"/>
        <v>74028671.471740216</v>
      </c>
      <c r="AE66" s="482">
        <f t="shared" si="81"/>
        <v>85275019.990516022</v>
      </c>
      <c r="AF66" s="482">
        <f t="shared" si="81"/>
        <v>99409959.695310026</v>
      </c>
      <c r="AG66" s="482">
        <f t="shared" si="81"/>
        <v>96784309.189423501</v>
      </c>
      <c r="AH66" s="482">
        <f t="shared" si="81"/>
        <v>111242290.30123648</v>
      </c>
      <c r="AI66" s="482">
        <f t="shared" si="81"/>
        <v>128175670.10171784</v>
      </c>
      <c r="AJ66" s="482">
        <f t="shared" si="81"/>
        <v>118537016.02717587</v>
      </c>
      <c r="AK66" s="482">
        <f t="shared" si="81"/>
        <v>104064009.73364109</v>
      </c>
      <c r="AL66" s="482">
        <f t="shared" si="81"/>
        <v>93178265.576188773</v>
      </c>
      <c r="AM66" s="482">
        <f t="shared" si="81"/>
        <v>93215828.530493304</v>
      </c>
      <c r="AN66" s="482">
        <f t="shared" si="81"/>
        <v>83411897.457011402</v>
      </c>
      <c r="AO66" s="482">
        <f t="shared" si="81"/>
        <v>100972578.59437841</v>
      </c>
      <c r="AP66" s="482">
        <f t="shared" si="81"/>
        <v>116309532.83691734</v>
      </c>
      <c r="AQ66" s="482">
        <f t="shared" si="81"/>
        <v>140402411.72784185</v>
      </c>
      <c r="AR66" s="482">
        <f t="shared" si="81"/>
        <v>140030538.48022702</v>
      </c>
      <c r="AS66" s="482">
        <f t="shared" si="81"/>
        <v>142160357.98929378</v>
      </c>
      <c r="AT66" s="482">
        <f t="shared" si="81"/>
        <v>141138645.63221058</v>
      </c>
      <c r="AU66" s="319">
        <f t="shared" si="81"/>
        <v>127285428.08470051</v>
      </c>
      <c r="AV66" s="319">
        <f t="shared" si="81"/>
        <v>117335001.48943096</v>
      </c>
      <c r="AW66" s="319">
        <f t="shared" si="81"/>
        <v>117425152.57976185</v>
      </c>
      <c r="AX66" s="319">
        <f t="shared" si="81"/>
        <v>126729496.3609935</v>
      </c>
      <c r="AY66" s="319">
        <f t="shared" si="81"/>
        <v>142900348.18909299</v>
      </c>
      <c r="AZ66" s="319">
        <f t="shared" si="81"/>
        <v>143136994.80121151</v>
      </c>
      <c r="BA66" s="319">
        <f t="shared" si="81"/>
        <v>152167129.01602012</v>
      </c>
      <c r="BB66" s="319">
        <f t="shared" si="81"/>
        <v>162523235.51777861</v>
      </c>
      <c r="BC66" s="319">
        <f t="shared" si="81"/>
        <v>180628579.49256125</v>
      </c>
      <c r="BD66" s="319">
        <f t="shared" si="81"/>
        <v>144534336.70133996</v>
      </c>
      <c r="BE66" s="319">
        <f t="shared" si="81"/>
        <v>118360470.1419446</v>
      </c>
      <c r="BF66" s="319">
        <f t="shared" si="81"/>
        <v>114322452.55420779</v>
      </c>
      <c r="BG66" s="319">
        <f t="shared" si="81"/>
        <v>117616723.64671493</v>
      </c>
      <c r="BH66" s="319">
        <f t="shared" si="81"/>
        <v>127773746.4906594</v>
      </c>
      <c r="BI66" s="319">
        <f t="shared" si="81"/>
        <v>134219549.44931647</v>
      </c>
      <c r="BJ66" s="319">
        <f t="shared" si="81"/>
        <v>137596459.04129359</v>
      </c>
      <c r="BK66" s="319">
        <f t="shared" si="81"/>
        <v>112177607.86341922</v>
      </c>
      <c r="BL66" s="319">
        <f t="shared" si="81"/>
        <v>96953342.48379387</v>
      </c>
      <c r="BM66" s="319">
        <f t="shared" si="81"/>
        <v>98869053.153324813</v>
      </c>
      <c r="BN66" s="319">
        <f t="shared" si="81"/>
        <v>93414912.188307315</v>
      </c>
      <c r="BO66" s="319">
        <f t="shared" si="81"/>
        <v>111865835.34269165</v>
      </c>
      <c r="BP66" s="319">
        <f t="shared" si="81"/>
        <v>115655937.43201855</v>
      </c>
      <c r="BQ66" s="319">
        <f t="shared" si="81"/>
        <v>117680580.66903262</v>
      </c>
      <c r="BR66" s="319">
        <f t="shared" si="81"/>
        <v>151265618.11271143</v>
      </c>
      <c r="BS66" s="319">
        <f t="shared" ref="BS66:CL66" si="82">(0.101511101973684*BS17*0.85*BS3/0.685)+(0.20964*BS16*0.5/0.82)</f>
        <v>136338100.07209188</v>
      </c>
      <c r="BT66" s="319">
        <f t="shared" si="82"/>
        <v>120865919.19405663</v>
      </c>
      <c r="BU66" s="319">
        <f t="shared" si="82"/>
        <v>65813653.365339875</v>
      </c>
      <c r="BV66" s="319">
        <f t="shared" si="82"/>
        <v>96754258.825979874</v>
      </c>
      <c r="BW66" s="319">
        <f t="shared" si="82"/>
        <v>99616555.943984941</v>
      </c>
      <c r="BX66" s="319">
        <f t="shared" si="82"/>
        <v>101280594.81967556</v>
      </c>
      <c r="BY66" s="319">
        <f t="shared" si="82"/>
        <v>102020585.01947476</v>
      </c>
      <c r="BZ66" s="319">
        <f t="shared" si="82"/>
        <v>100735931.98225988</v>
      </c>
      <c r="CA66" s="319">
        <f t="shared" si="82"/>
        <v>103789800.16721803</v>
      </c>
      <c r="CB66" s="319">
        <f t="shared" si="82"/>
        <v>119742786.86035125</v>
      </c>
      <c r="CC66" s="319">
        <f t="shared" si="82"/>
        <v>124351761.35351685</v>
      </c>
      <c r="CD66" s="319">
        <f t="shared" si="82"/>
        <v>150987652.25085792</v>
      </c>
      <c r="CE66" s="319">
        <f t="shared" si="82"/>
        <v>165877607.33717296</v>
      </c>
      <c r="CF66" s="319">
        <f t="shared" si="82"/>
        <v>170933580.98656249</v>
      </c>
      <c r="CG66" s="319">
        <f t="shared" si="82"/>
        <v>156723515.37315938</v>
      </c>
      <c r="CH66" s="319">
        <f t="shared" si="82"/>
        <v>135646941.71288854</v>
      </c>
      <c r="CI66" s="319">
        <f t="shared" si="82"/>
        <v>146859483.57279024</v>
      </c>
      <c r="CJ66" s="319">
        <f t="shared" si="82"/>
        <v>173446542.62953544</v>
      </c>
      <c r="CK66" s="319">
        <f t="shared" si="82"/>
        <v>183378187.74765274</v>
      </c>
      <c r="CL66" s="319">
        <f t="shared" si="82"/>
        <v>183990463.90281653</v>
      </c>
      <c r="CM66" s="319">
        <f t="shared" si="27"/>
        <v>117162072.2380635</v>
      </c>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row>
    <row r="67" spans="1:178">
      <c r="A67" s="1047"/>
      <c r="B67" s="1047"/>
      <c r="C67" s="1047"/>
      <c r="D67" s="1047"/>
      <c r="E67" s="1048"/>
      <c r="F67" s="363" t="s">
        <v>191</v>
      </c>
      <c r="G67" s="482">
        <f t="shared" ref="G67:BR67" si="83">G46+G47+G48+G49+G65+G66</f>
        <v>9870820440.1588726</v>
      </c>
      <c r="H67" s="482">
        <f t="shared" si="83"/>
        <v>9260508418.9270592</v>
      </c>
      <c r="I67" s="482">
        <f t="shared" si="83"/>
        <v>8582309345.9382753</v>
      </c>
      <c r="J67" s="482">
        <f t="shared" si="83"/>
        <v>7491446663.0509977</v>
      </c>
      <c r="K67" s="482">
        <f t="shared" si="83"/>
        <v>8072316484.4100933</v>
      </c>
      <c r="L67" s="482">
        <f t="shared" si="83"/>
        <v>8154596699.626976</v>
      </c>
      <c r="M67" s="482">
        <f t="shared" si="83"/>
        <v>8209267017.6062508</v>
      </c>
      <c r="N67" s="482">
        <f t="shared" si="83"/>
        <v>8448593926.8777828</v>
      </c>
      <c r="O67" s="482">
        <f t="shared" si="83"/>
        <v>8231372051.2473621</v>
      </c>
      <c r="P67" s="482">
        <f t="shared" si="83"/>
        <v>7762229097.3056259</v>
      </c>
      <c r="Q67" s="482">
        <f t="shared" si="83"/>
        <v>7485291384.8610106</v>
      </c>
      <c r="R67" s="482">
        <f t="shared" si="83"/>
        <v>7512160618.2044134</v>
      </c>
      <c r="S67" s="482">
        <f t="shared" si="83"/>
        <v>7636834759.2098751</v>
      </c>
      <c r="T67" s="482">
        <f t="shared" si="83"/>
        <v>7719111470.3713989</v>
      </c>
      <c r="U67" s="482">
        <f t="shared" si="83"/>
        <v>7576202126.9760695</v>
      </c>
      <c r="V67" s="482">
        <f t="shared" si="83"/>
        <v>6928506728.9837923</v>
      </c>
      <c r="W67" s="482">
        <f t="shared" si="83"/>
        <v>6669208228.1916132</v>
      </c>
      <c r="X67" s="482">
        <f t="shared" si="83"/>
        <v>6771909170.2179413</v>
      </c>
      <c r="Y67" s="482">
        <f t="shared" si="83"/>
        <v>6941002970.8676929</v>
      </c>
      <c r="Z67" s="482">
        <f t="shared" si="83"/>
        <v>7122805438.922473</v>
      </c>
      <c r="AA67" s="482">
        <f t="shared" si="83"/>
        <v>7211194696.1606379</v>
      </c>
      <c r="AB67" s="482">
        <f t="shared" si="83"/>
        <v>7060498740.1756945</v>
      </c>
      <c r="AC67" s="482">
        <f t="shared" si="83"/>
        <v>6884106174.597497</v>
      </c>
      <c r="AD67" s="482">
        <f t="shared" si="83"/>
        <v>7098368685.8898306</v>
      </c>
      <c r="AE67" s="482">
        <f t="shared" si="83"/>
        <v>7416956616.529458</v>
      </c>
      <c r="AF67" s="482">
        <f t="shared" si="83"/>
        <v>7554843202.6404409</v>
      </c>
      <c r="AG67" s="482">
        <f t="shared" si="83"/>
        <v>7863546538.7990026</v>
      </c>
      <c r="AH67" s="482">
        <f t="shared" si="83"/>
        <v>8377426812.5321627</v>
      </c>
      <c r="AI67" s="482">
        <f t="shared" si="83"/>
        <v>8431176788.2365046</v>
      </c>
      <c r="AJ67" s="482">
        <f t="shared" si="83"/>
        <v>7837206255.7023411</v>
      </c>
      <c r="AK67" s="482">
        <f t="shared" si="83"/>
        <v>7743489647.7844162</v>
      </c>
      <c r="AL67" s="482">
        <f t="shared" si="83"/>
        <v>7404208812.4471951</v>
      </c>
      <c r="AM67" s="482">
        <f t="shared" si="83"/>
        <v>7233822677.0316973</v>
      </c>
      <c r="AN67" s="482">
        <f t="shared" si="83"/>
        <v>7169285658.7242718</v>
      </c>
      <c r="AO67" s="482">
        <f t="shared" si="83"/>
        <v>7550161352.8813753</v>
      </c>
      <c r="AP67" s="482">
        <f t="shared" si="83"/>
        <v>7961897438.8195801</v>
      </c>
      <c r="AQ67" s="482">
        <f t="shared" si="83"/>
        <v>8415240570.1404896</v>
      </c>
      <c r="AR67" s="482">
        <f t="shared" si="83"/>
        <v>8708200177.593586</v>
      </c>
      <c r="AS67" s="482">
        <f t="shared" si="83"/>
        <v>8731895866.155201</v>
      </c>
      <c r="AT67" s="482">
        <f t="shared" si="83"/>
        <v>8576894994.2274809</v>
      </c>
      <c r="AU67" s="319">
        <f t="shared" si="83"/>
        <v>8520748030.148036</v>
      </c>
      <c r="AV67" s="319">
        <f t="shared" si="83"/>
        <v>8354373260.4496536</v>
      </c>
      <c r="AW67" s="319">
        <f t="shared" si="83"/>
        <v>8632439657.2539005</v>
      </c>
      <c r="AX67" s="319">
        <f t="shared" si="83"/>
        <v>9338095592.1294212</v>
      </c>
      <c r="AY67" s="319">
        <f t="shared" si="83"/>
        <v>9397779342.2065411</v>
      </c>
      <c r="AZ67" s="319">
        <f t="shared" si="83"/>
        <v>9595593978.902916</v>
      </c>
      <c r="BA67" s="319">
        <f t="shared" si="83"/>
        <v>9764750416.4052639</v>
      </c>
      <c r="BB67" s="319">
        <f t="shared" si="83"/>
        <v>10286410010.879295</v>
      </c>
      <c r="BC67" s="319">
        <f t="shared" si="83"/>
        <v>10617441968.117107</v>
      </c>
      <c r="BD67" s="319">
        <f t="shared" si="83"/>
        <v>9042703924.1005898</v>
      </c>
      <c r="BE67" s="319">
        <f t="shared" si="83"/>
        <v>8647149558.6209164</v>
      </c>
      <c r="BF67" s="319">
        <f t="shared" si="83"/>
        <v>8428765118.7708921</v>
      </c>
      <c r="BG67" s="319">
        <f t="shared" si="83"/>
        <v>8718165125.5350056</v>
      </c>
      <c r="BH67" s="319">
        <f t="shared" si="83"/>
        <v>8810117249.041605</v>
      </c>
      <c r="BI67" s="319">
        <f t="shared" si="83"/>
        <v>9034785574.9249287</v>
      </c>
      <c r="BJ67" s="319">
        <f t="shared" si="83"/>
        <v>8845170586.5164757</v>
      </c>
      <c r="BK67" s="319">
        <f t="shared" si="83"/>
        <v>8121427716.1744061</v>
      </c>
      <c r="BL67" s="319">
        <f t="shared" si="83"/>
        <v>8150255177.2524176</v>
      </c>
      <c r="BM67" s="319">
        <f t="shared" si="83"/>
        <v>7945100371.9712858</v>
      </c>
      <c r="BN67" s="319">
        <f t="shared" si="83"/>
        <v>8099377082.7118397</v>
      </c>
      <c r="BO67" s="319">
        <f t="shared" si="83"/>
        <v>8369916956.3526955</v>
      </c>
      <c r="BP67" s="319">
        <f t="shared" si="83"/>
        <v>8666253678.4267235</v>
      </c>
      <c r="BQ67" s="319">
        <f t="shared" si="83"/>
        <v>8869020281.1341534</v>
      </c>
      <c r="BR67" s="319">
        <f t="shared" si="83"/>
        <v>8956188574.0502644</v>
      </c>
      <c r="BS67" s="319">
        <f t="shared" ref="BS67:CL67" si="84">BS46+BS47+BS48+BS49+BS65+BS66</f>
        <v>8357737518.6376495</v>
      </c>
      <c r="BT67" s="319">
        <f t="shared" si="84"/>
        <v>6841891674.434474</v>
      </c>
      <c r="BU67" s="319">
        <f t="shared" si="84"/>
        <v>5264091587.9684916</v>
      </c>
      <c r="BV67" s="319">
        <f t="shared" si="84"/>
        <v>6154358846.4243088</v>
      </c>
      <c r="BW67" s="319">
        <f t="shared" si="84"/>
        <v>7005828883.8961086</v>
      </c>
      <c r="BX67" s="319">
        <f t="shared" si="84"/>
        <v>7181155775.4204865</v>
      </c>
      <c r="BY67" s="319">
        <f t="shared" si="84"/>
        <v>7269710191.2897902</v>
      </c>
      <c r="BZ67" s="319">
        <f t="shared" si="84"/>
        <v>7442963287.9440212</v>
      </c>
      <c r="CA67" s="319">
        <f t="shared" si="84"/>
        <v>7279596084.0904436</v>
      </c>
      <c r="CB67" s="319">
        <f t="shared" si="84"/>
        <v>7633371074.2095022</v>
      </c>
      <c r="CC67" s="319">
        <f t="shared" si="84"/>
        <v>8058445368.3104315</v>
      </c>
      <c r="CD67" s="319">
        <f t="shared" si="84"/>
        <v>8751032532.7942295</v>
      </c>
      <c r="CE67" s="319">
        <f t="shared" si="84"/>
        <v>9405003650.5414505</v>
      </c>
      <c r="CF67" s="319">
        <f t="shared" si="84"/>
        <v>9517643874.4926281</v>
      </c>
      <c r="CG67" s="319">
        <f t="shared" si="84"/>
        <v>9172918742.1842251</v>
      </c>
      <c r="CH67" s="319">
        <f t="shared" si="84"/>
        <v>9170210675.1047916</v>
      </c>
      <c r="CI67" s="319">
        <f t="shared" si="84"/>
        <v>9706715857.3551197</v>
      </c>
      <c r="CJ67" s="319">
        <f t="shared" si="84"/>
        <v>10504419002.301733</v>
      </c>
      <c r="CK67" s="319">
        <f t="shared" si="84"/>
        <v>10470931123.95681</v>
      </c>
      <c r="CL67" s="319">
        <f t="shared" si="84"/>
        <v>10846046038.829992</v>
      </c>
      <c r="CM67" s="319">
        <f t="shared" si="27"/>
        <v>8225273997.2772303</v>
      </c>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row>
    <row r="68" spans="1:178" ht="63.75" customHeight="1">
      <c r="A68" s="1047"/>
      <c r="B68" s="1047"/>
      <c r="C68" s="1047"/>
      <c r="D68" s="1047"/>
      <c r="E68" s="1048"/>
      <c r="F68" s="420" t="s">
        <v>192</v>
      </c>
      <c r="G68" s="621">
        <f t="shared" ref="G68:BR68" si="85">G67-G54-G55</f>
        <v>7113917405.7510242</v>
      </c>
      <c r="H68" s="621">
        <f t="shared" si="85"/>
        <v>6667663005.9825296</v>
      </c>
      <c r="I68" s="621">
        <f t="shared" si="85"/>
        <v>6124675315.4641075</v>
      </c>
      <c r="J68" s="621">
        <f t="shared" si="85"/>
        <v>5199241668.7259674</v>
      </c>
      <c r="K68" s="621">
        <f t="shared" si="85"/>
        <v>5687601049.8418741</v>
      </c>
      <c r="L68" s="621">
        <f t="shared" si="85"/>
        <v>5718251988.4565849</v>
      </c>
      <c r="M68" s="621">
        <f t="shared" si="85"/>
        <v>5785176830.8340502</v>
      </c>
      <c r="N68" s="621">
        <f t="shared" si="85"/>
        <v>5947272135.5198193</v>
      </c>
      <c r="O68" s="621">
        <f t="shared" si="85"/>
        <v>5841328799.273304</v>
      </c>
      <c r="P68" s="621">
        <f t="shared" si="85"/>
        <v>5420574116.280859</v>
      </c>
      <c r="Q68" s="621">
        <f t="shared" si="85"/>
        <v>5242896310.9115095</v>
      </c>
      <c r="R68" s="621">
        <f t="shared" si="85"/>
        <v>5337972681.862524</v>
      </c>
      <c r="S68" s="621">
        <f t="shared" si="85"/>
        <v>5416486803.1856947</v>
      </c>
      <c r="T68" s="621">
        <f t="shared" si="85"/>
        <v>5473790977.879324</v>
      </c>
      <c r="U68" s="621">
        <f t="shared" si="85"/>
        <v>5419877165.0643024</v>
      </c>
      <c r="V68" s="621">
        <f t="shared" si="85"/>
        <v>4844731992.3022079</v>
      </c>
      <c r="W68" s="621">
        <f t="shared" si="85"/>
        <v>4748956225.3850346</v>
      </c>
      <c r="X68" s="621">
        <f t="shared" si="85"/>
        <v>4806898853.1102591</v>
      </c>
      <c r="Y68" s="621">
        <f t="shared" si="85"/>
        <v>4871074303.3118563</v>
      </c>
      <c r="Z68" s="621">
        <f t="shared" si="85"/>
        <v>5034539420.294301</v>
      </c>
      <c r="AA68" s="621">
        <f t="shared" si="85"/>
        <v>5089051843.1963129</v>
      </c>
      <c r="AB68" s="621">
        <f t="shared" si="85"/>
        <v>4965218351.6804152</v>
      </c>
      <c r="AC68" s="621">
        <f t="shared" si="85"/>
        <v>4805355891.3891678</v>
      </c>
      <c r="AD68" s="621">
        <f t="shared" si="85"/>
        <v>5021861512.1153708</v>
      </c>
      <c r="AE68" s="621">
        <f t="shared" si="85"/>
        <v>5262516668.9702759</v>
      </c>
      <c r="AF68" s="621">
        <f t="shared" si="85"/>
        <v>5374201198.6421051</v>
      </c>
      <c r="AG68" s="621">
        <f t="shared" si="85"/>
        <v>5597433054.1931486</v>
      </c>
      <c r="AH68" s="621">
        <f t="shared" si="85"/>
        <v>5984032330.5567074</v>
      </c>
      <c r="AI68" s="621">
        <f t="shared" si="85"/>
        <v>5918410393.6850128</v>
      </c>
      <c r="AJ68" s="621">
        <f t="shared" si="85"/>
        <v>5442228313.5261011</v>
      </c>
      <c r="AK68" s="621">
        <f t="shared" si="85"/>
        <v>5301600090.7541666</v>
      </c>
      <c r="AL68" s="621">
        <f t="shared" si="85"/>
        <v>5066119943.473855</v>
      </c>
      <c r="AM68" s="621">
        <f t="shared" si="85"/>
        <v>4958562632.5896931</v>
      </c>
      <c r="AN68" s="621">
        <f t="shared" si="85"/>
        <v>4878946849.4757509</v>
      </c>
      <c r="AO68" s="621">
        <f t="shared" si="85"/>
        <v>5233908076.3529892</v>
      </c>
      <c r="AP68" s="621">
        <f t="shared" si="85"/>
        <v>5569685624.100625</v>
      </c>
      <c r="AQ68" s="621">
        <f t="shared" si="85"/>
        <v>5915928875.4457483</v>
      </c>
      <c r="AR68" s="621">
        <f t="shared" si="85"/>
        <v>6217353245.3839989</v>
      </c>
      <c r="AS68" s="621">
        <f t="shared" si="85"/>
        <v>6164919415.1293583</v>
      </c>
      <c r="AT68" s="621">
        <f t="shared" si="85"/>
        <v>5972539401.6973639</v>
      </c>
      <c r="AU68" s="419">
        <f t="shared" si="85"/>
        <v>5866495769.4385347</v>
      </c>
      <c r="AV68" s="419">
        <f t="shared" si="85"/>
        <v>5657855423.1460638</v>
      </c>
      <c r="AW68" s="419">
        <f t="shared" si="85"/>
        <v>5858745468.4956226</v>
      </c>
      <c r="AX68" s="419">
        <f t="shared" si="85"/>
        <v>6430222368.9377918</v>
      </c>
      <c r="AY68" s="419">
        <f t="shared" si="85"/>
        <v>6191956881.5846624</v>
      </c>
      <c r="AZ68" s="419">
        <f t="shared" si="85"/>
        <v>6375180970.8383045</v>
      </c>
      <c r="BA68" s="419">
        <f t="shared" si="85"/>
        <v>6515188066.6867266</v>
      </c>
      <c r="BB68" s="419">
        <f t="shared" si="85"/>
        <v>6837367869.0095673</v>
      </c>
      <c r="BC68" s="419">
        <f t="shared" si="85"/>
        <v>7179644565.5966053</v>
      </c>
      <c r="BD68" s="419">
        <f t="shared" si="85"/>
        <v>6100508129.0999603</v>
      </c>
      <c r="BE68" s="419">
        <f t="shared" si="85"/>
        <v>6116630848.5002975</v>
      </c>
      <c r="BF68" s="419">
        <f t="shared" si="85"/>
        <v>6015549044.9951582</v>
      </c>
      <c r="BG68" s="419">
        <f t="shared" si="85"/>
        <v>6241835640.6827765</v>
      </c>
      <c r="BH68" s="419">
        <f t="shared" si="85"/>
        <v>6253376688.2230663</v>
      </c>
      <c r="BI68" s="419">
        <f t="shared" si="85"/>
        <v>6441093098.4845686</v>
      </c>
      <c r="BJ68" s="419">
        <f t="shared" si="85"/>
        <v>6308492387.5356159</v>
      </c>
      <c r="BK68" s="419">
        <f t="shared" si="85"/>
        <v>5687488679.2315702</v>
      </c>
      <c r="BL68" s="419">
        <f t="shared" si="85"/>
        <v>5727739096.3037863</v>
      </c>
      <c r="BM68" s="419">
        <f t="shared" si="85"/>
        <v>5480567612.4793024</v>
      </c>
      <c r="BN68" s="419">
        <f t="shared" si="85"/>
        <v>5564122406.9637432</v>
      </c>
      <c r="BO68" s="419">
        <f t="shared" si="85"/>
        <v>5703834891.7007923</v>
      </c>
      <c r="BP68" s="419">
        <f t="shared" si="85"/>
        <v>6042473530.330512</v>
      </c>
      <c r="BQ68" s="419">
        <f t="shared" si="85"/>
        <v>6381773468.5822096</v>
      </c>
      <c r="BR68" s="419">
        <f t="shared" si="85"/>
        <v>6316213916.1114788</v>
      </c>
      <c r="BS68" s="419">
        <f t="shared" ref="BS68:CL68" si="86">BS67-BS54-BS55</f>
        <v>5807556326.640502</v>
      </c>
      <c r="BT68" s="419">
        <f t="shared" si="86"/>
        <v>4711393145.471653</v>
      </c>
      <c r="BU68" s="419">
        <f t="shared" si="86"/>
        <v>3755066886.1694908</v>
      </c>
      <c r="BV68" s="419">
        <f t="shared" si="86"/>
        <v>4892045955.5859079</v>
      </c>
      <c r="BW68" s="419">
        <f t="shared" si="86"/>
        <v>5502977798.1165848</v>
      </c>
      <c r="BX68" s="419">
        <f t="shared" si="86"/>
        <v>5457506646.8573942</v>
      </c>
      <c r="BY68" s="419">
        <f t="shared" si="86"/>
        <v>5467534548.1986742</v>
      </c>
      <c r="BZ68" s="419">
        <f t="shared" si="86"/>
        <v>5522651659.8018932</v>
      </c>
      <c r="CA68" s="419">
        <f t="shared" si="86"/>
        <v>5291153826.1425743</v>
      </c>
      <c r="CB68" s="419">
        <f t="shared" si="86"/>
        <v>5471337018.2052765</v>
      </c>
      <c r="CC68" s="419">
        <f t="shared" si="86"/>
        <v>5548674139.0666924</v>
      </c>
      <c r="CD68" s="419">
        <f t="shared" si="86"/>
        <v>6083245329.2955341</v>
      </c>
      <c r="CE68" s="419">
        <f t="shared" si="86"/>
        <v>6805718344.9724998</v>
      </c>
      <c r="CF68" s="419">
        <f t="shared" si="86"/>
        <v>6774567821.4203796</v>
      </c>
      <c r="CG68" s="419">
        <f t="shared" si="86"/>
        <v>6208815189.9199762</v>
      </c>
      <c r="CH68" s="419">
        <f t="shared" si="86"/>
        <v>6244288368.2585192</v>
      </c>
      <c r="CI68" s="419">
        <f t="shared" si="86"/>
        <v>6609721662.8340902</v>
      </c>
      <c r="CJ68" s="419">
        <f t="shared" si="86"/>
        <v>7148653808.7066488</v>
      </c>
      <c r="CK68" s="419">
        <f t="shared" si="86"/>
        <v>6881471545.3370037</v>
      </c>
      <c r="CL68" s="419">
        <f t="shared" si="86"/>
        <v>7215867280.6903486</v>
      </c>
      <c r="CM68" s="419">
        <f t="shared" si="27"/>
        <v>5763540534.3624506</v>
      </c>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row>
    <row r="69" spans="1:178">
      <c r="A69" s="58"/>
      <c r="B69" s="58"/>
      <c r="C69" s="58"/>
      <c r="D69" s="58"/>
      <c r="E69" s="58"/>
      <c r="F69" s="487" t="s">
        <v>344</v>
      </c>
      <c r="G69" s="488">
        <f t="shared" ref="G69:BR69" si="87">G68*G52/G16</f>
        <v>44361.45019810769</v>
      </c>
      <c r="H69" s="488">
        <f t="shared" si="87"/>
        <v>42406.651633711364</v>
      </c>
      <c r="I69" s="488">
        <f t="shared" si="87"/>
        <v>40154.39262286132</v>
      </c>
      <c r="J69" s="488">
        <f t="shared" si="87"/>
        <v>34757.246214712221</v>
      </c>
      <c r="K69" s="488">
        <f t="shared" si="87"/>
        <v>36974.260942925051</v>
      </c>
      <c r="L69" s="488">
        <f t="shared" si="87"/>
        <v>37184.780926524589</v>
      </c>
      <c r="M69" s="488">
        <f t="shared" si="87"/>
        <v>37346.526430297185</v>
      </c>
      <c r="N69" s="488">
        <f t="shared" si="87"/>
        <v>38154.092704585011</v>
      </c>
      <c r="O69" s="488">
        <f t="shared" si="87"/>
        <v>37663.456132664658</v>
      </c>
      <c r="P69" s="488">
        <f t="shared" si="87"/>
        <v>35506.628611752822</v>
      </c>
      <c r="Q69" s="488">
        <f t="shared" si="87"/>
        <v>34917.751868843079</v>
      </c>
      <c r="R69" s="488">
        <f t="shared" si="87"/>
        <v>35401.706787774558</v>
      </c>
      <c r="S69" s="488">
        <f t="shared" si="87"/>
        <v>35633.668156230175</v>
      </c>
      <c r="T69" s="488">
        <f t="shared" si="87"/>
        <v>35710.294088688584</v>
      </c>
      <c r="U69" s="488">
        <f t="shared" si="87"/>
        <v>35332.798522086581</v>
      </c>
      <c r="V69" s="488">
        <f t="shared" si="87"/>
        <v>32531.923434866723</v>
      </c>
      <c r="W69" s="488">
        <f t="shared" si="87"/>
        <v>32193.128293005037</v>
      </c>
      <c r="X69" s="488">
        <f t="shared" si="87"/>
        <v>31962.248700266307</v>
      </c>
      <c r="Y69" s="488">
        <f t="shared" si="87"/>
        <v>31864.80008591896</v>
      </c>
      <c r="Z69" s="488">
        <f t="shared" si="87"/>
        <v>32772.811958529383</v>
      </c>
      <c r="AA69" s="488">
        <f t="shared" si="87"/>
        <v>33014.162271590249</v>
      </c>
      <c r="AB69" s="488">
        <f t="shared" si="87"/>
        <v>32981.854711357351</v>
      </c>
      <c r="AC69" s="488">
        <f t="shared" si="87"/>
        <v>32020.094334341953</v>
      </c>
      <c r="AD69" s="488">
        <f t="shared" si="87"/>
        <v>33244.360248301782</v>
      </c>
      <c r="AE69" s="488">
        <f t="shared" si="87"/>
        <v>34167.972639448803</v>
      </c>
      <c r="AF69" s="488">
        <f t="shared" si="87"/>
        <v>34756.443118272182</v>
      </c>
      <c r="AG69" s="488">
        <f t="shared" si="87"/>
        <v>36055.95324248344</v>
      </c>
      <c r="AH69" s="488">
        <f t="shared" si="87"/>
        <v>38413.238707338292</v>
      </c>
      <c r="AI69" s="488">
        <f t="shared" si="87"/>
        <v>37578.775702738298</v>
      </c>
      <c r="AJ69" s="488">
        <f t="shared" si="87"/>
        <v>34651.835227548523</v>
      </c>
      <c r="AK69" s="488">
        <f t="shared" si="87"/>
        <v>34034.095807576348</v>
      </c>
      <c r="AL69" s="488">
        <f t="shared" si="87"/>
        <v>32885.606966775638</v>
      </c>
      <c r="AM69" s="488">
        <f t="shared" si="87"/>
        <v>32480.461816075702</v>
      </c>
      <c r="AN69" s="488">
        <f t="shared" si="87"/>
        <v>31881.286881152515</v>
      </c>
      <c r="AO69" s="488">
        <f t="shared" si="87"/>
        <v>33686.469671198538</v>
      </c>
      <c r="AP69" s="488">
        <f t="shared" si="87"/>
        <v>35421.508859815265</v>
      </c>
      <c r="AQ69" s="488">
        <f t="shared" si="87"/>
        <v>37447.099909036959</v>
      </c>
      <c r="AR69" s="488">
        <f t="shared" si="87"/>
        <v>38863.497109909913</v>
      </c>
      <c r="AS69" s="488">
        <f t="shared" si="87"/>
        <v>38643.005538433667</v>
      </c>
      <c r="AT69" s="488">
        <f t="shared" si="87"/>
        <v>37245.097579738249</v>
      </c>
      <c r="AU69" s="489">
        <f t="shared" si="87"/>
        <v>37283.104875788689</v>
      </c>
      <c r="AV69" s="489">
        <f t="shared" si="87"/>
        <v>35562.333985371028</v>
      </c>
      <c r="AW69" s="489">
        <f t="shared" si="87"/>
        <v>36684.211025852914</v>
      </c>
      <c r="AX69" s="489">
        <f t="shared" si="87"/>
        <v>39803.841216402725</v>
      </c>
      <c r="AY69" s="489">
        <f t="shared" si="87"/>
        <v>38457.117345205421</v>
      </c>
      <c r="AZ69" s="489">
        <f t="shared" si="87"/>
        <v>39536.918224753623</v>
      </c>
      <c r="BA69" s="489">
        <f t="shared" si="87"/>
        <v>40284.886067404557</v>
      </c>
      <c r="BB69" s="489">
        <f t="shared" si="87"/>
        <v>42039.512025020107</v>
      </c>
      <c r="BC69" s="489">
        <f t="shared" si="87"/>
        <v>44257.799121665274</v>
      </c>
      <c r="BD69" s="489">
        <f t="shared" si="87"/>
        <v>38886.530515720617</v>
      </c>
      <c r="BE69" s="489">
        <f t="shared" si="87"/>
        <v>40246.075252126066</v>
      </c>
      <c r="BF69" s="489">
        <f t="shared" si="87"/>
        <v>39189.883582995491</v>
      </c>
      <c r="BG69" s="489">
        <f t="shared" si="87"/>
        <v>39898.718453825932</v>
      </c>
      <c r="BH69" s="489">
        <f t="shared" si="87"/>
        <v>39604.696480949708</v>
      </c>
      <c r="BI69" s="489">
        <f t="shared" si="87"/>
        <v>40576.626912825384</v>
      </c>
      <c r="BJ69" s="489">
        <f t="shared" si="87"/>
        <v>39900.114903772388</v>
      </c>
      <c r="BK69" s="489">
        <f t="shared" si="87"/>
        <v>36734.654725869885</v>
      </c>
      <c r="BL69" s="489">
        <f t="shared" si="87"/>
        <v>36701.91988432598</v>
      </c>
      <c r="BM69" s="489">
        <f t="shared" si="87"/>
        <v>35400.263405867103</v>
      </c>
      <c r="BN69" s="489">
        <f t="shared" si="87"/>
        <v>35748.487509142811</v>
      </c>
      <c r="BO69" s="489">
        <f t="shared" si="87"/>
        <v>36379.135849429593</v>
      </c>
      <c r="BP69" s="489">
        <f t="shared" si="87"/>
        <v>38353.971346861596</v>
      </c>
      <c r="BQ69" s="489">
        <f t="shared" si="87"/>
        <v>40229.490612043242</v>
      </c>
      <c r="BR69" s="489">
        <f t="shared" si="87"/>
        <v>39554.588520519181</v>
      </c>
      <c r="BS69" s="489">
        <f t="shared" ref="BS69:CL69" si="88">BS68*BS52/BS16</f>
        <v>36793.714296491999</v>
      </c>
      <c r="BT69" s="489">
        <f t="shared" si="88"/>
        <v>31602.823578734333</v>
      </c>
      <c r="BU69" s="489">
        <f t="shared" si="88"/>
        <v>27241.796411623276</v>
      </c>
      <c r="BV69" s="489">
        <f t="shared" si="88"/>
        <v>33509.235809815269</v>
      </c>
      <c r="BW69" s="489">
        <f t="shared" si="88"/>
        <v>35805.483945001499</v>
      </c>
      <c r="BX69" s="489">
        <f t="shared" si="88"/>
        <v>35019.331732291452</v>
      </c>
      <c r="BY69" s="489">
        <f t="shared" si="88"/>
        <v>35262.616881847243</v>
      </c>
      <c r="BZ69" s="489">
        <f t="shared" si="88"/>
        <v>35942.028555643032</v>
      </c>
      <c r="CA69" s="489">
        <f t="shared" si="88"/>
        <v>34011.031535987342</v>
      </c>
      <c r="CB69" s="489">
        <f t="shared" si="88"/>
        <v>35513.801644297804</v>
      </c>
      <c r="CC69" s="489">
        <f t="shared" si="88"/>
        <v>35425.202563076149</v>
      </c>
      <c r="CD69" s="489">
        <f t="shared" si="88"/>
        <v>37900.222637717234</v>
      </c>
      <c r="CE69" s="489">
        <f t="shared" si="88"/>
        <v>42076.404546975529</v>
      </c>
      <c r="CF69" s="489">
        <f t="shared" si="88"/>
        <v>41746.979567699127</v>
      </c>
      <c r="CG69" s="489">
        <f t="shared" si="88"/>
        <v>38369.635962725115</v>
      </c>
      <c r="CH69" s="489">
        <f t="shared" si="88"/>
        <v>38607.701227224112</v>
      </c>
      <c r="CI69" s="489">
        <f t="shared" si="88"/>
        <v>40551.799748723133</v>
      </c>
      <c r="CJ69" s="489">
        <f t="shared" si="88"/>
        <v>43742.192819468204</v>
      </c>
      <c r="CK69" s="489">
        <f t="shared" si="88"/>
        <v>42495.349952655379</v>
      </c>
      <c r="CL69" s="489">
        <f t="shared" si="88"/>
        <v>44465.618057214029</v>
      </c>
      <c r="CM69" s="489">
        <f t="shared" si="27"/>
        <v>36901.205856862325</v>
      </c>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c r="FI69" s="58"/>
      <c r="FJ69" s="58"/>
      <c r="FK69" s="58"/>
      <c r="FL69" s="58"/>
      <c r="FM69" s="58"/>
      <c r="FN69" s="58"/>
      <c r="FO69" s="58"/>
      <c r="FP69" s="58"/>
      <c r="FQ69" s="58"/>
      <c r="FR69" s="58"/>
      <c r="FS69" s="58"/>
      <c r="FT69" s="58"/>
      <c r="FU69" s="58"/>
      <c r="FV69" s="58"/>
    </row>
    <row r="70" spans="1:178">
      <c r="A70" s="58"/>
      <c r="B70" s="58"/>
      <c r="C70" s="58"/>
      <c r="D70" s="58"/>
      <c r="E70" s="58"/>
      <c r="F70" s="487" t="s">
        <v>345</v>
      </c>
      <c r="G70" s="488">
        <f t="shared" ref="G70:BR70" si="89">G53*G68/G17</f>
        <v>71480.453836399101</v>
      </c>
      <c r="H70" s="488">
        <f t="shared" si="89"/>
        <v>63673.739301072761</v>
      </c>
      <c r="I70" s="488">
        <f t="shared" si="89"/>
        <v>53668.032476193701</v>
      </c>
      <c r="J70" s="488">
        <f t="shared" si="89"/>
        <v>42869.471988675607</v>
      </c>
      <c r="K70" s="488">
        <f t="shared" si="89"/>
        <v>51100.64054591379</v>
      </c>
      <c r="L70" s="488">
        <f t="shared" si="89"/>
        <v>51330.827896664203</v>
      </c>
      <c r="M70" s="488">
        <f t="shared" si="89"/>
        <v>53028.983550615871</v>
      </c>
      <c r="N70" s="488">
        <f t="shared" si="89"/>
        <v>55473.323940775837</v>
      </c>
      <c r="O70" s="488">
        <f t="shared" si="89"/>
        <v>53726.537584282392</v>
      </c>
      <c r="P70" s="488">
        <f t="shared" si="89"/>
        <v>47624.92983439815</v>
      </c>
      <c r="Q70" s="488">
        <f t="shared" si="89"/>
        <v>43756.448638371156</v>
      </c>
      <c r="R70" s="488">
        <f t="shared" si="89"/>
        <v>45148.912390133992</v>
      </c>
      <c r="S70" s="488">
        <f t="shared" si="89"/>
        <v>46971.757048648535</v>
      </c>
      <c r="T70" s="488">
        <f t="shared" si="89"/>
        <v>48674.078331539371</v>
      </c>
      <c r="U70" s="488">
        <f t="shared" si="89"/>
        <v>48298.078106346162</v>
      </c>
      <c r="V70" s="488">
        <f t="shared" si="89"/>
        <v>39366.148461553086</v>
      </c>
      <c r="W70" s="488">
        <f t="shared" si="89"/>
        <v>37366.6184067715</v>
      </c>
      <c r="X70" s="488">
        <f t="shared" si="89"/>
        <v>40325.373479937836</v>
      </c>
      <c r="Y70" s="488">
        <f t="shared" si="89"/>
        <v>42967.264109180433</v>
      </c>
      <c r="Z70" s="488">
        <f t="shared" si="89"/>
        <v>45056.552590420317</v>
      </c>
      <c r="AA70" s="488">
        <f t="shared" si="89"/>
        <v>45999.90834173128</v>
      </c>
      <c r="AB70" s="488">
        <f t="shared" si="89"/>
        <v>41786.354787590004</v>
      </c>
      <c r="AC70" s="488">
        <f t="shared" si="89"/>
        <v>40039.118649137381</v>
      </c>
      <c r="AD70" s="488">
        <f t="shared" si="89"/>
        <v>42719.544388252303</v>
      </c>
      <c r="AE70" s="488">
        <f t="shared" si="89"/>
        <v>47453.50943168204</v>
      </c>
      <c r="AF70" s="488">
        <f t="shared" si="89"/>
        <v>49009.042020458888</v>
      </c>
      <c r="AG70" s="488">
        <f t="shared" si="89"/>
        <v>51623.416347012899</v>
      </c>
      <c r="AH70" s="488">
        <f t="shared" si="89"/>
        <v>55722.64130321463</v>
      </c>
      <c r="AI70" s="488">
        <f t="shared" si="89"/>
        <v>56769.845162056728</v>
      </c>
      <c r="AJ70" s="488">
        <f t="shared" si="89"/>
        <v>51814.75258019477</v>
      </c>
      <c r="AK70" s="488">
        <f t="shared" si="89"/>
        <v>49361.537565027909</v>
      </c>
      <c r="AL70" s="488">
        <f t="shared" si="89"/>
        <v>45711.520433410784</v>
      </c>
      <c r="AM70" s="488">
        <f t="shared" si="89"/>
        <v>43565.044120128419</v>
      </c>
      <c r="AN70" s="488">
        <f t="shared" si="89"/>
        <v>43177.21486893329</v>
      </c>
      <c r="AO70" s="488">
        <f t="shared" si="89"/>
        <v>48382.427010662388</v>
      </c>
      <c r="AP70" s="488">
        <f t="shared" si="89"/>
        <v>53196.30211915417</v>
      </c>
      <c r="AQ70" s="488">
        <f t="shared" si="89"/>
        <v>57211.235238512447</v>
      </c>
      <c r="AR70" s="488">
        <f t="shared" si="89"/>
        <v>62098.975767046621</v>
      </c>
      <c r="AS70" s="488">
        <f t="shared" si="89"/>
        <v>61144.814794405407</v>
      </c>
      <c r="AT70" s="488">
        <f t="shared" si="89"/>
        <v>60007.383086372764</v>
      </c>
      <c r="AU70" s="489">
        <f t="shared" si="89"/>
        <v>56135.593930539515</v>
      </c>
      <c r="AV70" s="489">
        <f t="shared" si="89"/>
        <v>55723.536066121414</v>
      </c>
      <c r="AW70" s="489">
        <f t="shared" si="89"/>
        <v>58267.171253396758</v>
      </c>
      <c r="AX70" s="489">
        <f t="shared" si="89"/>
        <v>65791.257051867578</v>
      </c>
      <c r="AY70" s="489">
        <f t="shared" si="89"/>
        <v>62839.080978816994</v>
      </c>
      <c r="AZ70" s="489">
        <f t="shared" si="89"/>
        <v>64931.973541544321</v>
      </c>
      <c r="BA70" s="489">
        <f t="shared" si="89"/>
        <v>66840.787958178538</v>
      </c>
      <c r="BB70" s="489">
        <f t="shared" si="89"/>
        <v>71099.146912367301</v>
      </c>
      <c r="BC70" s="489">
        <f t="shared" si="89"/>
        <v>74201.658420884196</v>
      </c>
      <c r="BD70" s="489">
        <f t="shared" si="89"/>
        <v>57908.437960771982</v>
      </c>
      <c r="BE70" s="489">
        <f t="shared" si="89"/>
        <v>53017.960417901231</v>
      </c>
      <c r="BF70" s="489">
        <f t="shared" si="89"/>
        <v>53711.294852685118</v>
      </c>
      <c r="BG70" s="489">
        <f t="shared" si="89"/>
        <v>58803.2293788713</v>
      </c>
      <c r="BH70" s="489">
        <f t="shared" si="89"/>
        <v>60387.938893862702</v>
      </c>
      <c r="BI70" s="489">
        <f t="shared" si="89"/>
        <v>63071.282128033119</v>
      </c>
      <c r="BJ70" s="489">
        <f t="shared" si="89"/>
        <v>61135.474192248068</v>
      </c>
      <c r="BK70" s="489">
        <f t="shared" si="89"/>
        <v>52058.256022998074</v>
      </c>
      <c r="BL70" s="489">
        <f t="shared" si="89"/>
        <v>53601.32418604866</v>
      </c>
      <c r="BM70" s="489">
        <f t="shared" si="89"/>
        <v>50155.929903352415</v>
      </c>
      <c r="BN70" s="489">
        <f t="shared" si="89"/>
        <v>51688.995294704575</v>
      </c>
      <c r="BO70" s="489">
        <f t="shared" si="89"/>
        <v>54058.288266408032</v>
      </c>
      <c r="BP70" s="489">
        <f t="shared" si="89"/>
        <v>58010.190779614793</v>
      </c>
      <c r="BQ70" s="489">
        <f t="shared" si="89"/>
        <v>62383.850066351537</v>
      </c>
      <c r="BR70" s="489">
        <f t="shared" si="89"/>
        <v>62792.912733866186</v>
      </c>
      <c r="BS70" s="489">
        <f t="shared" ref="BS70:CL70" si="90">BS53*BS68/BS17</f>
        <v>56032.372604272656</v>
      </c>
      <c r="BT70" s="489">
        <f t="shared" si="90"/>
        <v>38418.104764443699</v>
      </c>
      <c r="BU70" s="489">
        <f t="shared" si="90"/>
        <v>22378.029585926895</v>
      </c>
      <c r="BV70" s="489">
        <f t="shared" si="90"/>
        <v>37103.565331660539</v>
      </c>
      <c r="BW70" s="489">
        <f t="shared" si="90"/>
        <v>49315.74266297993</v>
      </c>
      <c r="BX70" s="489">
        <f t="shared" si="90"/>
        <v>50875.819438392689</v>
      </c>
      <c r="BY70" s="489">
        <f t="shared" si="90"/>
        <v>50251.207076545274</v>
      </c>
      <c r="BZ70" s="489">
        <f t="shared" si="90"/>
        <v>49457.799912768183</v>
      </c>
      <c r="CA70" s="489">
        <f t="shared" si="90"/>
        <v>49087.714778825735</v>
      </c>
      <c r="CB70" s="489">
        <f t="shared" si="90"/>
        <v>49376.548758310819</v>
      </c>
      <c r="CC70" s="489">
        <f t="shared" si="90"/>
        <v>52444.544226915408</v>
      </c>
      <c r="CD70" s="489">
        <f t="shared" si="90"/>
        <v>61261.103685214533</v>
      </c>
      <c r="CE70" s="489">
        <f t="shared" si="90"/>
        <v>69841.052390965066</v>
      </c>
      <c r="CF70" s="489">
        <f t="shared" si="90"/>
        <v>70070.517254648366</v>
      </c>
      <c r="CG70" s="489">
        <f t="shared" si="90"/>
        <v>63781.420570554859</v>
      </c>
      <c r="CH70" s="489">
        <f t="shared" si="90"/>
        <v>64070.196947672994</v>
      </c>
      <c r="CI70" s="489">
        <f t="shared" si="90"/>
        <v>69085.216787739366</v>
      </c>
      <c r="CJ70" s="489">
        <f t="shared" si="90"/>
        <v>75183.885551389525</v>
      </c>
      <c r="CK70" s="489">
        <f t="shared" si="90"/>
        <v>70816.683274441471</v>
      </c>
      <c r="CL70" s="489">
        <f t="shared" si="90"/>
        <v>74638.103915493426</v>
      </c>
      <c r="CM70" s="489">
        <f t="shared" si="27"/>
        <v>54057.237633850877</v>
      </c>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c r="FI70" s="58"/>
      <c r="FJ70" s="58"/>
      <c r="FK70" s="58"/>
      <c r="FL70" s="58"/>
      <c r="FM70" s="58"/>
      <c r="FN70" s="58"/>
      <c r="FO70" s="58"/>
      <c r="FP70" s="58"/>
      <c r="FQ70" s="58"/>
      <c r="FR70" s="58"/>
      <c r="FS70" s="58"/>
      <c r="FT70" s="58"/>
      <c r="FU70" s="58"/>
      <c r="FV70" s="58"/>
    </row>
    <row r="71" spans="1:178">
      <c r="F71" s="315"/>
      <c r="G71" s="315"/>
      <c r="H71" s="315"/>
      <c r="I71" s="315"/>
      <c r="J71" s="315"/>
      <c r="K71" s="315"/>
      <c r="L71" s="315"/>
      <c r="M71" s="315"/>
      <c r="N71" s="315"/>
      <c r="O71" s="315"/>
      <c r="P71" s="315"/>
      <c r="Q71" s="315"/>
      <c r="R71" s="315"/>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7"/>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c r="BZ71" s="318"/>
      <c r="CA71" s="318"/>
      <c r="CB71" s="318"/>
      <c r="CC71" s="318"/>
      <c r="CD71" s="318"/>
      <c r="CE71" s="318"/>
      <c r="CF71" s="318"/>
      <c r="CG71" s="318"/>
      <c r="CH71" s="318"/>
      <c r="CI71" s="318"/>
      <c r="CJ71" s="318"/>
      <c r="CK71" s="318"/>
      <c r="CL71" s="318"/>
      <c r="CM71" s="319"/>
    </row>
    <row r="72" spans="1:178">
      <c r="F72" s="320" t="s">
        <v>404</v>
      </c>
      <c r="G72" s="321">
        <v>93308.112500000003</v>
      </c>
      <c r="H72" s="321">
        <v>89338.57</v>
      </c>
      <c r="I72" s="321">
        <v>84521.437916666662</v>
      </c>
      <c r="J72" s="321">
        <v>72138.256250000006</v>
      </c>
      <c r="K72" s="321">
        <v>69542.803749999992</v>
      </c>
      <c r="L72" s="321">
        <v>77202.935599999997</v>
      </c>
      <c r="M72" s="321">
        <v>85561.224749999994</v>
      </c>
      <c r="N72" s="321">
        <v>87810.504000000001</v>
      </c>
      <c r="O72" s="321">
        <v>82223.356874999998</v>
      </c>
      <c r="P72" s="321">
        <v>81008.455999999991</v>
      </c>
      <c r="Q72" s="321">
        <v>77755.603250000015</v>
      </c>
      <c r="R72" s="321">
        <v>75270.07650000001</v>
      </c>
      <c r="S72" s="321">
        <v>79308</v>
      </c>
      <c r="T72" s="321">
        <v>87844.5</v>
      </c>
      <c r="U72" s="321">
        <v>84301.2</v>
      </c>
      <c r="V72" s="321">
        <v>71658</v>
      </c>
      <c r="W72" s="321">
        <v>73467</v>
      </c>
      <c r="X72" s="321">
        <v>79317</v>
      </c>
      <c r="Y72" s="321">
        <v>83124</v>
      </c>
      <c r="Z72" s="321">
        <v>80424</v>
      </c>
      <c r="AA72" s="321">
        <v>78174</v>
      </c>
      <c r="AB72" s="321">
        <v>79992</v>
      </c>
      <c r="AC72" s="321">
        <v>80892</v>
      </c>
      <c r="AD72" s="321">
        <v>80892</v>
      </c>
      <c r="AE72" s="321">
        <v>79920</v>
      </c>
      <c r="AF72" s="321">
        <v>79920</v>
      </c>
      <c r="AG72" s="321">
        <v>79020</v>
      </c>
      <c r="AH72" s="321">
        <v>80838</v>
      </c>
      <c r="AI72" s="321">
        <v>80838</v>
      </c>
      <c r="AJ72" s="321">
        <v>81738</v>
      </c>
      <c r="AK72" s="321">
        <v>80838</v>
      </c>
      <c r="AL72" s="321">
        <v>80838</v>
      </c>
      <c r="AM72" s="321">
        <v>80838</v>
      </c>
      <c r="AN72" s="321">
        <v>80478</v>
      </c>
      <c r="AO72" s="321">
        <v>73638</v>
      </c>
      <c r="AP72" s="321">
        <v>73638</v>
      </c>
      <c r="AQ72" s="321">
        <v>73638</v>
      </c>
      <c r="AR72" s="321">
        <v>75069</v>
      </c>
      <c r="AS72" s="321">
        <v>74097</v>
      </c>
      <c r="AT72" s="322">
        <v>77120</v>
      </c>
      <c r="AU72" s="323">
        <v>78330</v>
      </c>
      <c r="AV72" s="323">
        <v>78330</v>
      </c>
      <c r="AW72" s="323">
        <v>79710</v>
      </c>
      <c r="AX72" s="323">
        <v>81840</v>
      </c>
      <c r="AY72" s="323">
        <v>82290</v>
      </c>
      <c r="AZ72" s="323">
        <v>81605</v>
      </c>
      <c r="BA72" s="323">
        <v>80450</v>
      </c>
      <c r="BB72" s="323">
        <v>82290</v>
      </c>
      <c r="BC72" s="323">
        <v>84860</v>
      </c>
      <c r="BD72" s="323">
        <v>82790</v>
      </c>
      <c r="BE72" s="323">
        <v>75410</v>
      </c>
      <c r="BF72" s="323">
        <v>75535</v>
      </c>
      <c r="BG72" s="323">
        <v>75515</v>
      </c>
      <c r="BH72" s="323">
        <v>76895</v>
      </c>
      <c r="BI72" s="323">
        <v>76895</v>
      </c>
      <c r="BJ72" s="323">
        <v>73118.75</v>
      </c>
      <c r="BK72" s="323">
        <v>69505.666666666672</v>
      </c>
      <c r="BL72" s="323">
        <v>68825</v>
      </c>
      <c r="BM72" s="323">
        <v>69518</v>
      </c>
      <c r="BN72" s="323">
        <v>66726.666666666672</v>
      </c>
      <c r="BO72" s="323">
        <v>68260</v>
      </c>
      <c r="BP72" s="323">
        <v>65340</v>
      </c>
      <c r="BQ72" s="323">
        <v>64110</v>
      </c>
      <c r="BR72" s="323">
        <v>65725</v>
      </c>
      <c r="BS72" s="323">
        <v>66420</v>
      </c>
      <c r="BT72" s="323">
        <v>66430</v>
      </c>
      <c r="BU72" s="323">
        <v>62745</v>
      </c>
      <c r="BV72" s="323">
        <v>59985</v>
      </c>
      <c r="BW72" s="323">
        <v>63743.333333333336</v>
      </c>
      <c r="BX72" s="323">
        <v>67265</v>
      </c>
      <c r="BY72" s="323">
        <v>67680</v>
      </c>
      <c r="BZ72" s="323">
        <v>68533.333333333328</v>
      </c>
      <c r="CA72" s="323">
        <v>71170</v>
      </c>
      <c r="CB72" s="323">
        <v>74566.666666666672</v>
      </c>
      <c r="CC72" s="323">
        <v>80425</v>
      </c>
      <c r="CD72" s="323">
        <v>79965</v>
      </c>
      <c r="CE72" s="323">
        <v>83513.333333333328</v>
      </c>
      <c r="CF72" s="323">
        <v>94750</v>
      </c>
      <c r="CG72" s="323">
        <v>97356.666666666672</v>
      </c>
      <c r="CH72" s="323">
        <v>88703.333333333328</v>
      </c>
      <c r="CI72" s="323">
        <v>85010</v>
      </c>
      <c r="CJ72" s="323">
        <v>87430</v>
      </c>
      <c r="CK72" s="323">
        <v>92103.333333333328</v>
      </c>
      <c r="CL72" s="323">
        <v>94270</v>
      </c>
      <c r="CM72" s="324">
        <f t="shared" si="27"/>
        <v>77898.572865773807</v>
      </c>
    </row>
    <row r="73" spans="1:178">
      <c r="F73" s="325" t="s">
        <v>405</v>
      </c>
      <c r="G73" s="326">
        <v>94825.01304374999</v>
      </c>
      <c r="H73" s="326">
        <v>89531.853532499998</v>
      </c>
      <c r="I73" s="326">
        <v>85012.567467500005</v>
      </c>
      <c r="J73" s="326">
        <v>73145.637585937497</v>
      </c>
      <c r="K73" s="326">
        <v>69337.815106875001</v>
      </c>
      <c r="L73" s="326">
        <v>76428.891031799998</v>
      </c>
      <c r="M73" s="326">
        <v>85421.754279000001</v>
      </c>
      <c r="N73" s="326">
        <v>87695.729944499995</v>
      </c>
      <c r="O73" s="326">
        <v>84411.261556875004</v>
      </c>
      <c r="P73" s="326">
        <v>83437.817375999992</v>
      </c>
      <c r="Q73" s="326">
        <v>79078.185913500012</v>
      </c>
      <c r="R73" s="326">
        <v>76465.631594250022</v>
      </c>
      <c r="S73" s="326">
        <v>81045</v>
      </c>
      <c r="T73" s="326">
        <v>88461.9</v>
      </c>
      <c r="U73" s="326">
        <v>84411.9</v>
      </c>
      <c r="V73" s="326">
        <v>73836</v>
      </c>
      <c r="W73" s="326">
        <v>75195</v>
      </c>
      <c r="X73" s="326">
        <v>78795</v>
      </c>
      <c r="Y73" s="326">
        <v>81990</v>
      </c>
      <c r="Z73" s="326">
        <v>80190</v>
      </c>
      <c r="AA73" s="326">
        <v>78840</v>
      </c>
      <c r="AB73" s="326">
        <v>80235</v>
      </c>
      <c r="AC73" s="326">
        <v>80235</v>
      </c>
      <c r="AD73" s="326">
        <v>80235</v>
      </c>
      <c r="AE73" s="326">
        <v>78345</v>
      </c>
      <c r="AF73" s="326">
        <v>78345</v>
      </c>
      <c r="AG73" s="326">
        <v>76545</v>
      </c>
      <c r="AH73" s="326">
        <v>78399</v>
      </c>
      <c r="AI73" s="326">
        <v>78399</v>
      </c>
      <c r="AJ73" s="326">
        <v>78399</v>
      </c>
      <c r="AK73" s="326">
        <v>77499</v>
      </c>
      <c r="AL73" s="326">
        <v>77499</v>
      </c>
      <c r="AM73" s="326">
        <v>77499</v>
      </c>
      <c r="AN73" s="326">
        <v>74799</v>
      </c>
      <c r="AO73" s="326">
        <v>71199</v>
      </c>
      <c r="AP73" s="326">
        <v>71199</v>
      </c>
      <c r="AQ73" s="326">
        <v>72549</v>
      </c>
      <c r="AR73" s="326">
        <v>73008</v>
      </c>
      <c r="AS73" s="326">
        <v>74358</v>
      </c>
      <c r="AT73" s="327">
        <v>80539.58795362903</v>
      </c>
      <c r="AU73" s="328">
        <v>86934.170866935485</v>
      </c>
      <c r="AV73" s="328">
        <v>89341.653225806454</v>
      </c>
      <c r="AW73" s="328">
        <v>91140.766129032243</v>
      </c>
      <c r="AX73" s="328">
        <v>96099.868951612909</v>
      </c>
      <c r="AY73" s="328">
        <v>97828.508064516122</v>
      </c>
      <c r="AZ73" s="328">
        <v>97836.572580645152</v>
      </c>
      <c r="BA73" s="328">
        <v>97190.645161290318</v>
      </c>
      <c r="BB73" s="328">
        <v>97364.107862903213</v>
      </c>
      <c r="BC73" s="328">
        <v>98086.408770161288</v>
      </c>
      <c r="BD73" s="328">
        <v>93706.549059139783</v>
      </c>
      <c r="BE73" s="328">
        <v>83380.277217741939</v>
      </c>
      <c r="BF73" s="328">
        <v>81038.145161290318</v>
      </c>
      <c r="BG73" s="328">
        <v>79961.224798387091</v>
      </c>
      <c r="BH73" s="328">
        <v>79961.224798387091</v>
      </c>
      <c r="BI73" s="328">
        <v>79961.224798387091</v>
      </c>
      <c r="BJ73" s="328">
        <v>77660.846774193546</v>
      </c>
      <c r="BK73" s="328">
        <v>72853.889616935485</v>
      </c>
      <c r="BL73" s="328">
        <v>70820.866935483864</v>
      </c>
      <c r="BM73" s="328">
        <v>71429.147177419349</v>
      </c>
      <c r="BN73" s="328">
        <v>70584.057459677424</v>
      </c>
      <c r="BO73" s="328">
        <v>70105.042002688162</v>
      </c>
      <c r="BP73" s="328">
        <v>67182.930947580651</v>
      </c>
      <c r="BQ73" s="328">
        <v>66724.662298387091</v>
      </c>
      <c r="BR73" s="328">
        <v>67824.059979838712</v>
      </c>
      <c r="BS73" s="328">
        <v>68500.904737903227</v>
      </c>
      <c r="BT73" s="328">
        <v>68724.480846774197</v>
      </c>
      <c r="BU73" s="328">
        <v>66429.480846774182</v>
      </c>
      <c r="BV73" s="328">
        <v>63588.351814516129</v>
      </c>
      <c r="BW73" s="328">
        <v>66402.384072580651</v>
      </c>
      <c r="BX73" s="328">
        <v>70905.260416666657</v>
      </c>
      <c r="BY73" s="328">
        <v>72930.645161290318</v>
      </c>
      <c r="BZ73" s="328">
        <v>74167.31182795699</v>
      </c>
      <c r="CA73" s="328">
        <v>76190.645161290318</v>
      </c>
      <c r="CB73" s="328">
        <v>78563.440860215051</v>
      </c>
      <c r="CC73" s="328">
        <v>82576.774193548394</v>
      </c>
      <c r="CD73" s="328">
        <v>83057.285786290318</v>
      </c>
      <c r="CE73" s="328">
        <v>87461.036626344096</v>
      </c>
      <c r="CF73" s="328">
        <v>95744.682459677424</v>
      </c>
      <c r="CG73" s="328">
        <v>100247.4932795699</v>
      </c>
      <c r="CH73" s="328">
        <v>93822.923387096787</v>
      </c>
      <c r="CI73" s="328">
        <v>89059.213709677409</v>
      </c>
      <c r="CJ73" s="328">
        <v>89672.547043010738</v>
      </c>
      <c r="CK73" s="328">
        <v>92655.342741935485</v>
      </c>
      <c r="CL73" s="328">
        <v>93595.342741935485</v>
      </c>
      <c r="CM73" s="329">
        <f t="shared" si="27"/>
        <v>80549.463627852514</v>
      </c>
    </row>
    <row r="74" spans="1:178">
      <c r="F74" s="330" t="s">
        <v>406</v>
      </c>
      <c r="G74" s="331">
        <v>91404.880812874995</v>
      </c>
      <c r="H74" s="331">
        <v>87094.764578674993</v>
      </c>
      <c r="I74" s="331">
        <v>77256.38140569166</v>
      </c>
      <c r="J74" s="331">
        <v>61325.996379656252</v>
      </c>
      <c r="K74" s="331">
        <v>64119.948843824997</v>
      </c>
      <c r="L74" s="331">
        <v>77013.163535779997</v>
      </c>
      <c r="M74" s="331">
        <v>83162.763292252494</v>
      </c>
      <c r="N74" s="331">
        <v>86773.900204894991</v>
      </c>
      <c r="O74" s="331">
        <v>81044.034106035004</v>
      </c>
      <c r="P74" s="331">
        <v>74891.803732367989</v>
      </c>
      <c r="Q74" s="331">
        <v>68413.046297037508</v>
      </c>
      <c r="R74" s="331">
        <v>66765.586722307518</v>
      </c>
      <c r="S74" s="331">
        <v>73130.399999999994</v>
      </c>
      <c r="T74" s="331">
        <v>75137.399999999994</v>
      </c>
      <c r="U74" s="331">
        <v>70196.399999999994</v>
      </c>
      <c r="V74" s="331">
        <v>67642.2</v>
      </c>
      <c r="W74" s="331">
        <v>66744</v>
      </c>
      <c r="X74" s="331">
        <v>71694.899999999994</v>
      </c>
      <c r="Y74" s="331">
        <v>73773</v>
      </c>
      <c r="Z74" s="331">
        <v>70695</v>
      </c>
      <c r="AA74" s="331">
        <v>66735</v>
      </c>
      <c r="AB74" s="331">
        <v>72495</v>
      </c>
      <c r="AC74" s="331">
        <v>71613</v>
      </c>
      <c r="AD74" s="331">
        <v>71172</v>
      </c>
      <c r="AE74" s="331">
        <v>69300</v>
      </c>
      <c r="AF74" s="331">
        <v>71055</v>
      </c>
      <c r="AG74" s="331">
        <v>71055</v>
      </c>
      <c r="AH74" s="331">
        <v>75069</v>
      </c>
      <c r="AI74" s="331">
        <v>75069</v>
      </c>
      <c r="AJ74" s="331">
        <v>78147</v>
      </c>
      <c r="AK74" s="331">
        <v>74601</v>
      </c>
      <c r="AL74" s="331">
        <v>73314</v>
      </c>
      <c r="AM74" s="331">
        <v>73314</v>
      </c>
      <c r="AN74" s="331">
        <v>71992.800000000003</v>
      </c>
      <c r="AO74" s="331">
        <v>74170.8</v>
      </c>
      <c r="AP74" s="331">
        <v>75970.8</v>
      </c>
      <c r="AQ74" s="331">
        <v>79579.8</v>
      </c>
      <c r="AR74" s="331">
        <v>78679.8</v>
      </c>
      <c r="AS74" s="331">
        <v>78679.8</v>
      </c>
      <c r="AT74" s="332">
        <v>82316.144548146898</v>
      </c>
      <c r="AU74" s="333">
        <v>87120.247838398529</v>
      </c>
      <c r="AV74" s="333">
        <v>88230.55929702321</v>
      </c>
      <c r="AW74" s="333">
        <v>88137.702676638582</v>
      </c>
      <c r="AX74" s="333">
        <v>90726.081075997456</v>
      </c>
      <c r="AY74" s="333">
        <v>93640.936364928682</v>
      </c>
      <c r="AZ74" s="333">
        <v>92952.565226764884</v>
      </c>
      <c r="BA74" s="333">
        <v>90410.936364928682</v>
      </c>
      <c r="BB74" s="333">
        <v>92250.936364928682</v>
      </c>
      <c r="BC74" s="333">
        <v>94825.936364928682</v>
      </c>
      <c r="BD74" s="333">
        <v>91827.603031595354</v>
      </c>
      <c r="BE74" s="333">
        <v>79800.936364928682</v>
      </c>
      <c r="BF74" s="333">
        <v>79925.936364928668</v>
      </c>
      <c r="BG74" s="333">
        <v>82092.565226764898</v>
      </c>
      <c r="BH74" s="333">
        <v>83705.936364928682</v>
      </c>
      <c r="BI74" s="333">
        <v>86337.244991853178</v>
      </c>
      <c r="BJ74" s="333">
        <v>88343.09322299331</v>
      </c>
      <c r="BK74" s="333">
        <v>84371.0867978694</v>
      </c>
      <c r="BL74" s="333">
        <v>82533.667556645247</v>
      </c>
      <c r="BM74" s="333">
        <v>83915.296418481477</v>
      </c>
      <c r="BN74" s="333">
        <v>85998.353851846667</v>
      </c>
      <c r="BO74" s="333">
        <v>83680.839372426868</v>
      </c>
      <c r="BP74" s="333">
        <v>78296.420131202744</v>
      </c>
      <c r="BQ74" s="333">
        <v>74908.667556645261</v>
      </c>
      <c r="BR74" s="333">
        <v>75368.667556645261</v>
      </c>
      <c r="BS74" s="333">
        <v>74755.334223311933</v>
      </c>
      <c r="BT74" s="333">
        <v>71698.667556645261</v>
      </c>
      <c r="BU74" s="333">
        <v>67093.667556645261</v>
      </c>
      <c r="BV74" s="333">
        <v>66173.667556645261</v>
      </c>
      <c r="BW74" s="333">
        <v>70296.297866503111</v>
      </c>
      <c r="BX74" s="333">
        <v>73811.225510968739</v>
      </c>
      <c r="BY74" s="333">
        <v>73104.932138219243</v>
      </c>
      <c r="BZ74" s="333">
        <v>73109.932138219243</v>
      </c>
      <c r="CA74" s="333">
        <v>76518.265471552571</v>
      </c>
      <c r="CB74" s="333">
        <v>82074.932138219243</v>
      </c>
      <c r="CC74" s="333">
        <v>90244.932138219243</v>
      </c>
      <c r="CD74" s="333">
        <v>93047.449038505991</v>
      </c>
      <c r="CE74" s="333">
        <v>98603.920574120828</v>
      </c>
      <c r="CF74" s="333">
        <v>112597.05572119531</v>
      </c>
      <c r="CG74" s="333">
        <v>112518.32981716725</v>
      </c>
      <c r="CH74" s="333">
        <v>106216.66315050058</v>
      </c>
      <c r="CI74" s="333">
        <v>98978.114255042339</v>
      </c>
      <c r="CJ74" s="333">
        <v>99434.349797459188</v>
      </c>
      <c r="CK74" s="333">
        <v>103781.54397226339</v>
      </c>
      <c r="CL74" s="333">
        <v>105181.5439722634</v>
      </c>
      <c r="CM74" s="334">
        <f t="shared" si="27"/>
        <v>80729.185183779831</v>
      </c>
    </row>
    <row r="75" spans="1:178">
      <c r="F75" s="293"/>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33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336"/>
    </row>
  </sheetData>
  <mergeCells count="12">
    <mergeCell ref="A59:E68"/>
    <mergeCell ref="A2:A6"/>
    <mergeCell ref="A7:A11"/>
    <mergeCell ref="A12:A15"/>
    <mergeCell ref="E12:E15"/>
    <mergeCell ref="A16:A22"/>
    <mergeCell ref="E16:E22"/>
    <mergeCell ref="A23:A33"/>
    <mergeCell ref="A34:A40"/>
    <mergeCell ref="E34:E40"/>
    <mergeCell ref="A42:A43"/>
    <mergeCell ref="A56:A5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D706-D595-4C28-ACF5-243E2BCC5EDC}">
  <sheetPr codeName="Sheet23"/>
  <dimension ref="A1:K21"/>
  <sheetViews>
    <sheetView showGridLines="0" zoomScale="110" zoomScaleNormal="110" workbookViewId="0">
      <pane ySplit="7" topLeftCell="A8" activePane="bottomLeft" state="frozen"/>
      <selection activeCell="F12" sqref="F12:F15"/>
      <selection pane="bottomLeft" activeCell="E17" sqref="E17"/>
    </sheetView>
  </sheetViews>
  <sheetFormatPr defaultRowHeight="11.25"/>
  <cols>
    <col min="1" max="1" width="45.85546875" style="613" bestFit="1" customWidth="1"/>
    <col min="2" max="2" width="18.5703125" style="613" bestFit="1" customWidth="1"/>
    <col min="3" max="3" width="13.140625" style="613" customWidth="1"/>
    <col min="4" max="4" width="14.7109375" style="613" customWidth="1"/>
    <col min="5" max="5" width="14.28515625" style="613" customWidth="1"/>
    <col min="6" max="6" width="15.42578125" style="613" customWidth="1"/>
    <col min="7" max="7" width="16.5703125" style="613" customWidth="1"/>
    <col min="8" max="8" width="12.85546875" style="613" customWidth="1"/>
    <col min="9" max="9" width="13" style="613" customWidth="1"/>
    <col min="10" max="10" width="13.85546875" style="613" customWidth="1"/>
    <col min="11" max="11" width="11.42578125" style="613" customWidth="1"/>
    <col min="12" max="12" width="21" style="613" bestFit="1" customWidth="1"/>
    <col min="13" max="13" width="9.140625" style="613"/>
    <col min="14" max="14" width="17.7109375" style="613" bestFit="1" customWidth="1"/>
    <col min="15" max="15" width="25" style="613" bestFit="1" customWidth="1"/>
    <col min="16" max="16" width="9.140625" style="613"/>
    <col min="17" max="17" width="17.7109375" style="613" bestFit="1" customWidth="1"/>
    <col min="18" max="18" width="21" style="613" bestFit="1" customWidth="1"/>
    <col min="19" max="19" width="9.140625" style="613"/>
    <col min="20" max="20" width="17.7109375" style="613" bestFit="1" customWidth="1"/>
    <col min="21" max="21" width="24" style="613" bestFit="1" customWidth="1"/>
    <col min="22" max="16384" width="9.140625" style="613"/>
  </cols>
  <sheetData>
    <row r="1" spans="1:11" s="611" customFormat="1" ht="16.5" customHeight="1">
      <c r="A1" s="608"/>
      <c r="B1" s="609" t="s">
        <v>145</v>
      </c>
      <c r="C1" s="610" t="s">
        <v>2</v>
      </c>
      <c r="D1" s="609" t="s">
        <v>8</v>
      </c>
      <c r="E1" s="609" t="s">
        <v>3</v>
      </c>
      <c r="F1" s="609" t="s">
        <v>154</v>
      </c>
      <c r="G1" s="609" t="s">
        <v>155</v>
      </c>
      <c r="H1" s="609" t="s">
        <v>9</v>
      </c>
      <c r="I1" s="609" t="s">
        <v>156</v>
      </c>
      <c r="J1" s="609" t="s">
        <v>10</v>
      </c>
      <c r="K1" s="609" t="s">
        <v>157</v>
      </c>
    </row>
    <row r="2" spans="1:11">
      <c r="A2" s="611" t="s">
        <v>496</v>
      </c>
      <c r="B2" s="612">
        <f>Feed!C11</f>
        <v>1098.4700000000003</v>
      </c>
      <c r="C2" s="612">
        <f>Feed!C12</f>
        <v>399.96999999999991</v>
      </c>
      <c r="D2" s="612">
        <f>Feed!C13</f>
        <v>59.343000000000004</v>
      </c>
      <c r="E2" s="612">
        <f>Feed!C14</f>
        <v>131.04179999999997</v>
      </c>
      <c r="F2" s="612">
        <f>Feed!C15</f>
        <v>115.28470750000001</v>
      </c>
      <c r="G2" s="612">
        <f>Feed!C16</f>
        <v>147.42202499999999</v>
      </c>
      <c r="H2" s="612">
        <f>Feed!C17</f>
        <v>56.827141999999995</v>
      </c>
      <c r="I2" s="612">
        <f>Feed!C18</f>
        <v>1.5378579999999995</v>
      </c>
      <c r="J2" s="612">
        <f>Feed!C19</f>
        <v>44.2266075</v>
      </c>
      <c r="K2" s="612">
        <f>Feed!C20</f>
        <v>378.78300000000002</v>
      </c>
    </row>
    <row r="3" spans="1:11">
      <c r="A3" s="611" t="s">
        <v>497</v>
      </c>
      <c r="B3" s="612">
        <v>161.19999999999999</v>
      </c>
      <c r="C3" s="612">
        <v>102</v>
      </c>
      <c r="D3" s="612"/>
      <c r="E3" s="612">
        <v>42.958200000000033</v>
      </c>
      <c r="F3" s="612"/>
      <c r="G3" s="612"/>
      <c r="H3" s="612"/>
      <c r="I3" s="612"/>
      <c r="J3" s="612"/>
      <c r="K3" s="612"/>
    </row>
    <row r="4" spans="1:11">
      <c r="A4" s="614" t="s">
        <v>150</v>
      </c>
      <c r="B4" s="612">
        <f>B3+B2</f>
        <v>1259.6700000000003</v>
      </c>
      <c r="C4" s="612">
        <f t="shared" ref="C4:K4" si="0">C3+C2</f>
        <v>501.96999999999991</v>
      </c>
      <c r="D4" s="612">
        <f t="shared" si="0"/>
        <v>59.343000000000004</v>
      </c>
      <c r="E4" s="612">
        <f t="shared" si="0"/>
        <v>174</v>
      </c>
      <c r="F4" s="612">
        <f t="shared" si="0"/>
        <v>115.28470750000001</v>
      </c>
      <c r="G4" s="612">
        <f t="shared" si="0"/>
        <v>147.42202499999999</v>
      </c>
      <c r="H4" s="612">
        <f t="shared" si="0"/>
        <v>56.827141999999995</v>
      </c>
      <c r="I4" s="612">
        <f t="shared" si="0"/>
        <v>1.5378579999999995</v>
      </c>
      <c r="J4" s="612">
        <f t="shared" si="0"/>
        <v>44.2266075</v>
      </c>
      <c r="K4" s="612">
        <f t="shared" si="0"/>
        <v>378.78300000000002</v>
      </c>
    </row>
    <row r="5" spans="1:11">
      <c r="A5" s="611"/>
      <c r="B5" s="612"/>
      <c r="C5" s="612"/>
      <c r="D5" s="612"/>
      <c r="E5" s="612"/>
      <c r="F5" s="612"/>
      <c r="G5" s="612"/>
      <c r="H5" s="612"/>
      <c r="I5" s="612"/>
      <c r="J5" s="612"/>
      <c r="K5" s="612"/>
    </row>
    <row r="6" spans="1:11">
      <c r="A6" s="611" t="s">
        <v>498</v>
      </c>
      <c r="B6" s="615">
        <f>Feed!B11</f>
        <v>0.44418520016174701</v>
      </c>
      <c r="C6" s="615">
        <f>Feed!B12</f>
        <v>0.16173473513950665</v>
      </c>
      <c r="D6" s="615">
        <f>Feed!B13</f>
        <v>2.3996360695511525E-2</v>
      </c>
      <c r="E6" s="615">
        <f>Feed!B14</f>
        <v>5.2989001213101482E-2</v>
      </c>
      <c r="F6" s="615">
        <f>Feed!B15</f>
        <v>4.6617350384148812E-2</v>
      </c>
      <c r="G6" s="615">
        <f>Feed!B16</f>
        <v>5.9612626364739178E-2</v>
      </c>
      <c r="H6" s="615">
        <f>Feed!B17</f>
        <v>2.2979030327537401E-2</v>
      </c>
      <c r="I6" s="615">
        <f>Feed!B18</f>
        <v>6.2185928022644545E-4</v>
      </c>
      <c r="J6" s="615">
        <f>Feed!B19</f>
        <v>1.7883787909421755E-2</v>
      </c>
      <c r="K6" s="615">
        <f>Feed!B20</f>
        <v>0.15316740800646989</v>
      </c>
    </row>
    <row r="7" spans="1:11">
      <c r="A7" s="611" t="s">
        <v>499</v>
      </c>
      <c r="B7" s="612">
        <f>B6*Feed!$B$8</f>
        <v>1098.4700000000003</v>
      </c>
      <c r="C7" s="612">
        <f>C6*Feed!$B$8</f>
        <v>399.96999999999991</v>
      </c>
      <c r="D7" s="612">
        <f>D6*Feed!$B$8</f>
        <v>59.343000000000004</v>
      </c>
      <c r="E7" s="612">
        <f>E6*Feed!$B$8</f>
        <v>131.04179999999997</v>
      </c>
      <c r="F7" s="612">
        <f>F6*Feed!$B$8</f>
        <v>115.28470750000001</v>
      </c>
      <c r="G7" s="612">
        <f>G6*Feed!$B$8</f>
        <v>147.42202499999999</v>
      </c>
      <c r="H7" s="612">
        <f>H6*Feed!$B$8</f>
        <v>56.827141999999995</v>
      </c>
      <c r="I7" s="612">
        <f>I6*Feed!$B$8</f>
        <v>1.5378579999999995</v>
      </c>
      <c r="J7" s="612">
        <f>J6*Feed!$B$8</f>
        <v>44.2266075</v>
      </c>
      <c r="K7" s="612">
        <f>K6*Feed!$B$8</f>
        <v>378.78300000000002</v>
      </c>
    </row>
    <row r="8" spans="1:11">
      <c r="B8" s="615">
        <v>1000</v>
      </c>
      <c r="C8" s="615">
        <f>C7*$B$8/$B$7</f>
        <v>364.11554252733333</v>
      </c>
      <c r="D8" s="615">
        <f t="shared" ref="D8:K8" si="1">D7*$B$8/$B$7</f>
        <v>54.023323349750093</v>
      </c>
      <c r="E8" s="615">
        <f t="shared" si="1"/>
        <v>119.29483736469811</v>
      </c>
      <c r="F8" s="615">
        <f t="shared" si="1"/>
        <v>104.95025581035438</v>
      </c>
      <c r="G8" s="615">
        <f t="shared" si="1"/>
        <v>134.20669203528541</v>
      </c>
      <c r="H8" s="615">
        <f t="shared" si="1"/>
        <v>51.732994073575043</v>
      </c>
      <c r="I8" s="615">
        <f t="shared" si="1"/>
        <v>1.3999999999999992</v>
      </c>
      <c r="J8" s="615">
        <f t="shared" si="1"/>
        <v>40.26200761058562</v>
      </c>
      <c r="K8" s="615">
        <f t="shared" si="1"/>
        <v>344.82780594827341</v>
      </c>
    </row>
    <row r="9" spans="1:11">
      <c r="A9" s="1067" t="s">
        <v>597</v>
      </c>
      <c r="B9" s="1067"/>
      <c r="C9" s="1067"/>
      <c r="D9" s="1067"/>
      <c r="E9" s="1067"/>
      <c r="F9" s="1067"/>
      <c r="G9" s="1067"/>
      <c r="H9" s="1067"/>
      <c r="I9" s="1067"/>
      <c r="J9" s="1067"/>
      <c r="K9" s="1067"/>
    </row>
    <row r="10" spans="1:11">
      <c r="A10" s="613" t="s">
        <v>153</v>
      </c>
      <c r="B10" s="615">
        <f>Feed!J11</f>
        <v>0.44727242552485302</v>
      </c>
      <c r="C10" s="615">
        <f>Feed!J12</f>
        <v>0.17143299311260474</v>
      </c>
      <c r="D10" s="615">
        <f>Feed!J13</f>
        <v>2.2352070367604348E-2</v>
      </c>
      <c r="E10" s="615">
        <f>Feed!J14</f>
        <v>4.7020184217077404E-2</v>
      </c>
      <c r="F10" s="615">
        <f>Feed!J15</f>
        <v>4.1174129698780183E-2</v>
      </c>
      <c r="G10" s="615">
        <f>Feed!J16</f>
        <v>5.2897707244212104E-2</v>
      </c>
      <c r="H10" s="615">
        <f>Feed!J17</f>
        <v>2.1811367355406192E-2</v>
      </c>
      <c r="I10" s="615">
        <f>Feed!J18</f>
        <v>6.2618139573479374E-4</v>
      </c>
      <c r="J10" s="615">
        <f>Feed!J19</f>
        <v>1.5869312173263629E-2</v>
      </c>
      <c r="K10" s="615">
        <f>Feed!J20</f>
        <v>0.16039014189693798</v>
      </c>
    </row>
    <row r="11" spans="1:11">
      <c r="A11" s="611" t="s">
        <v>499</v>
      </c>
      <c r="B11" s="612">
        <f>B10*Feed!$J$8</f>
        <v>1347.5200000000009</v>
      </c>
      <c r="C11" s="612">
        <f>C10*Feed!$J$8</f>
        <v>516.48474999999996</v>
      </c>
      <c r="D11" s="612">
        <f>D10*Feed!$J$8</f>
        <v>67.341200000000001</v>
      </c>
      <c r="E11" s="612">
        <f>E10*Feed!$J$8</f>
        <v>141.66005999999996</v>
      </c>
      <c r="F11" s="612">
        <f>F10*Feed!$J$8</f>
        <v>124.04735925</v>
      </c>
      <c r="G11" s="612">
        <f>G10*Feed!$J$8</f>
        <v>159.36756750000001</v>
      </c>
      <c r="H11" s="612">
        <f>H10*Feed!$J$8</f>
        <v>65.712197000000003</v>
      </c>
      <c r="I11" s="612">
        <f>I10*Feed!$J$8</f>
        <v>1.8865279999999998</v>
      </c>
      <c r="J11" s="612">
        <f>J10*Feed!$J$8</f>
        <v>47.810270250000002</v>
      </c>
      <c r="K11" s="612">
        <f>K10*Feed!$J$8</f>
        <v>483.21539999999993</v>
      </c>
    </row>
    <row r="12" spans="1:11">
      <c r="A12" s="613" t="s">
        <v>500</v>
      </c>
      <c r="B12" s="615">
        <f t="shared" ref="B12:K12" si="2">B11-B7</f>
        <v>249.05000000000064</v>
      </c>
      <c r="C12" s="615">
        <f t="shared" si="2"/>
        <v>116.51475000000005</v>
      </c>
      <c r="D12" s="615">
        <f t="shared" si="2"/>
        <v>7.9981999999999971</v>
      </c>
      <c r="E12" s="615">
        <f t="shared" si="2"/>
        <v>10.618259999999992</v>
      </c>
      <c r="F12" s="615">
        <f t="shared" si="2"/>
        <v>8.7626517499999892</v>
      </c>
      <c r="G12" s="615">
        <f t="shared" si="2"/>
        <v>11.945542500000016</v>
      </c>
      <c r="H12" s="615">
        <f t="shared" si="2"/>
        <v>8.8850550000000084</v>
      </c>
      <c r="I12" s="615">
        <f t="shared" si="2"/>
        <v>0.34867000000000026</v>
      </c>
      <c r="J12" s="615">
        <f t="shared" si="2"/>
        <v>3.583662750000002</v>
      </c>
      <c r="K12" s="615">
        <f t="shared" si="2"/>
        <v>104.43239999999992</v>
      </c>
    </row>
    <row r="13" spans="1:11">
      <c r="A13" s="613" t="s">
        <v>501</v>
      </c>
      <c r="B13" s="939">
        <f t="shared" ref="B13:K13" si="3">(B12/B7)</f>
        <v>0.22672444399938149</v>
      </c>
      <c r="C13" s="939">
        <f t="shared" si="3"/>
        <v>0.29130872315423673</v>
      </c>
      <c r="D13" s="939">
        <f t="shared" si="3"/>
        <v>0.13477916519218774</v>
      </c>
      <c r="E13" s="939">
        <f t="shared" si="3"/>
        <v>8.1029564612207672E-2</v>
      </c>
      <c r="F13" s="939">
        <f t="shared" si="3"/>
        <v>7.6008795442361582E-2</v>
      </c>
      <c r="G13" s="939">
        <f t="shared" si="3"/>
        <v>8.1029564612207824E-2</v>
      </c>
      <c r="H13" s="939">
        <f t="shared" si="3"/>
        <v>0.15635231136557967</v>
      </c>
      <c r="I13" s="939">
        <f t="shared" si="3"/>
        <v>0.22672444399938119</v>
      </c>
      <c r="J13" s="939">
        <f t="shared" si="3"/>
        <v>8.1029564612207755E-2</v>
      </c>
      <c r="K13" s="939">
        <f t="shared" si="3"/>
        <v>0.27570508708152136</v>
      </c>
    </row>
    <row r="14" spans="1:11">
      <c r="A14" s="611" t="s">
        <v>502</v>
      </c>
      <c r="B14" s="612">
        <f t="shared" ref="B14:K14" si="4">B11-B4</f>
        <v>87.850000000000591</v>
      </c>
      <c r="C14" s="612">
        <f>C11-C4</f>
        <v>14.514750000000049</v>
      </c>
      <c r="D14" s="612">
        <f t="shared" si="4"/>
        <v>7.9981999999999971</v>
      </c>
      <c r="E14" s="612">
        <f t="shared" si="4"/>
        <v>-32.339940000000041</v>
      </c>
      <c r="F14" s="612">
        <f t="shared" si="4"/>
        <v>8.7626517499999892</v>
      </c>
      <c r="G14" s="612">
        <f t="shared" si="4"/>
        <v>11.945542500000016</v>
      </c>
      <c r="H14" s="612">
        <f t="shared" si="4"/>
        <v>8.8850550000000084</v>
      </c>
      <c r="I14" s="612">
        <f t="shared" si="4"/>
        <v>0.34867000000000026</v>
      </c>
      <c r="J14" s="612">
        <f t="shared" si="4"/>
        <v>3.583662750000002</v>
      </c>
      <c r="K14" s="612">
        <f t="shared" si="4"/>
        <v>104.43239999999992</v>
      </c>
    </row>
    <row r="16" spans="1:11" s="925" customFormat="1">
      <c r="A16" s="1067" t="s">
        <v>562</v>
      </c>
      <c r="B16" s="1067"/>
      <c r="C16" s="1067"/>
      <c r="D16" s="1067"/>
      <c r="E16" s="1067"/>
      <c r="F16" s="1067"/>
      <c r="G16" s="1067"/>
      <c r="H16" s="1067"/>
      <c r="I16" s="1067"/>
      <c r="J16" s="1067"/>
      <c r="K16" s="1067"/>
    </row>
    <row r="17" spans="1:11" s="925" customFormat="1">
      <c r="A17" s="613" t="s">
        <v>153</v>
      </c>
      <c r="B17" s="615">
        <f>Feed!N11</f>
        <v>0.54227804107424959</v>
      </c>
      <c r="C17" s="615">
        <f>Feed!N12</f>
        <v>0.13512796208530806</v>
      </c>
      <c r="D17" s="615">
        <f>Feed!N13</f>
        <v>1.792298578199052E-2</v>
      </c>
      <c r="E17" s="615">
        <f>Feed!N14</f>
        <v>3.8885260663507115E-2</v>
      </c>
      <c r="F17" s="615">
        <f>Feed!N15</f>
        <v>4.1307898894154829E-2</v>
      </c>
      <c r="G17" s="615">
        <f>Feed!N16</f>
        <v>4.6662312796208534E-2</v>
      </c>
      <c r="H17" s="615">
        <f>Feed!N17</f>
        <v>3.4588362085308057E-2</v>
      </c>
      <c r="I17" s="615">
        <f>Feed!N18</f>
        <v>7.5918925750394944E-4</v>
      </c>
      <c r="J17" s="615">
        <f>Feed!N19</f>
        <v>8.3992163033175353E-3</v>
      </c>
      <c r="K17" s="615">
        <f>Feed!N20</f>
        <v>0.13600236966824641</v>
      </c>
    </row>
    <row r="18" spans="1:11" s="925" customFormat="1">
      <c r="A18" s="611" t="s">
        <v>499</v>
      </c>
      <c r="B18" s="612">
        <f>B17*Feed!$N$8</f>
        <v>1373.048</v>
      </c>
      <c r="C18" s="612">
        <f>C17*Feed!$N$8</f>
        <v>342.14400000000001</v>
      </c>
      <c r="D18" s="612">
        <f>D17*Feed!$N$8</f>
        <v>45.380999999999993</v>
      </c>
      <c r="E18" s="612">
        <f>E17*Feed!$N$8</f>
        <v>98.457480000000018</v>
      </c>
      <c r="F18" s="612">
        <f>F17*Feed!$N$8</f>
        <v>104.59160000000003</v>
      </c>
      <c r="G18" s="612">
        <f>G17*Feed!$N$8</f>
        <v>118.148976</v>
      </c>
      <c r="H18" s="612">
        <f>H17*Feed!$N$8</f>
        <v>87.577732799999993</v>
      </c>
      <c r="I18" s="612">
        <f>I17*Feed!$N$8</f>
        <v>1.9222672000000001</v>
      </c>
      <c r="J18" s="612">
        <f>J17*Feed!$N$8</f>
        <v>21.266815680000001</v>
      </c>
      <c r="K18" s="612">
        <f>K17*Feed!$N$8</f>
        <v>344.35799999999995</v>
      </c>
    </row>
    <row r="19" spans="1:11" s="925" customFormat="1">
      <c r="A19" s="613" t="s">
        <v>500</v>
      </c>
      <c r="B19" s="615">
        <f>B18-B7</f>
        <v>274.57799999999975</v>
      </c>
      <c r="C19" s="615">
        <f t="shared" ref="C19:K19" si="5">C18-C7</f>
        <v>-57.825999999999908</v>
      </c>
      <c r="D19" s="615">
        <f t="shared" si="5"/>
        <v>-13.96200000000001</v>
      </c>
      <c r="E19" s="615">
        <f t="shared" si="5"/>
        <v>-32.584319999999948</v>
      </c>
      <c r="F19" s="615">
        <f t="shared" si="5"/>
        <v>-10.693107499999982</v>
      </c>
      <c r="G19" s="615">
        <f t="shared" si="5"/>
        <v>-29.273048999999986</v>
      </c>
      <c r="H19" s="615">
        <f t="shared" si="5"/>
        <v>30.750590799999998</v>
      </c>
      <c r="I19" s="615">
        <f t="shared" si="5"/>
        <v>0.38440920000000056</v>
      </c>
      <c r="J19" s="615">
        <f t="shared" si="5"/>
        <v>-22.95979182</v>
      </c>
      <c r="K19" s="615">
        <f t="shared" si="5"/>
        <v>-34.425000000000068</v>
      </c>
    </row>
    <row r="20" spans="1:11" s="925" customFormat="1">
      <c r="A20" s="613" t="s">
        <v>501</v>
      </c>
      <c r="B20" s="939">
        <f>B19/B7</f>
        <v>0.24996404089324212</v>
      </c>
      <c r="C20" s="939">
        <f t="shared" ref="C20:K20" si="6">C19/C7</f>
        <v>-0.14457584318823891</v>
      </c>
      <c r="D20" s="939">
        <f t="shared" si="6"/>
        <v>-0.23527627521358896</v>
      </c>
      <c r="E20" s="939">
        <f t="shared" si="6"/>
        <v>-0.24865592505597417</v>
      </c>
      <c r="F20" s="939">
        <f t="shared" si="6"/>
        <v>-9.2753911007667528E-2</v>
      </c>
      <c r="G20" s="939">
        <f t="shared" si="6"/>
        <v>-0.19856632005970606</v>
      </c>
      <c r="H20" s="939">
        <f t="shared" si="6"/>
        <v>0.54112506309045072</v>
      </c>
      <c r="I20" s="939">
        <f t="shared" si="6"/>
        <v>0.24996404089324287</v>
      </c>
      <c r="J20" s="939">
        <f t="shared" si="6"/>
        <v>-0.51913979203582372</v>
      </c>
      <c r="K20" s="939">
        <f t="shared" si="6"/>
        <v>-9.088317057523719E-2</v>
      </c>
    </row>
    <row r="21" spans="1:11" s="925" customFormat="1">
      <c r="A21" s="611" t="s">
        <v>502</v>
      </c>
      <c r="B21" s="612">
        <f>B18-B4</f>
        <v>113.3779999999997</v>
      </c>
      <c r="C21" s="612">
        <f t="shared" ref="C21:K21" si="7">C18-C4</f>
        <v>-159.82599999999991</v>
      </c>
      <c r="D21" s="612">
        <f t="shared" si="7"/>
        <v>-13.96200000000001</v>
      </c>
      <c r="E21" s="612">
        <f t="shared" si="7"/>
        <v>-75.542519999999982</v>
      </c>
      <c r="F21" s="612">
        <f t="shared" si="7"/>
        <v>-10.693107499999982</v>
      </c>
      <c r="G21" s="612">
        <f t="shared" si="7"/>
        <v>-29.273048999999986</v>
      </c>
      <c r="H21" s="612">
        <f t="shared" si="7"/>
        <v>30.750590799999998</v>
      </c>
      <c r="I21" s="612">
        <f t="shared" si="7"/>
        <v>0.38440920000000056</v>
      </c>
      <c r="J21" s="612">
        <f t="shared" si="7"/>
        <v>-22.95979182</v>
      </c>
      <c r="K21" s="612">
        <f t="shared" si="7"/>
        <v>-34.425000000000068</v>
      </c>
    </row>
  </sheetData>
  <mergeCells count="2">
    <mergeCell ref="A9:K9"/>
    <mergeCell ref="A16:K16"/>
  </mergeCells>
  <conditionalFormatting sqref="C19:G21">
    <cfRule type="cellIs" dxfId="2" priority="3" operator="lessThan">
      <formula>0</formula>
    </cfRule>
  </conditionalFormatting>
  <conditionalFormatting sqref="E14">
    <cfRule type="cellIs" dxfId="1" priority="2" operator="lessThan">
      <formula>0</formula>
    </cfRule>
  </conditionalFormatting>
  <conditionalFormatting sqref="J19:K21">
    <cfRule type="cellIs" dxfId="0" priority="1" operator="lessThan">
      <formula>0</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43DE-1E73-4E9A-827D-AD32D80B3E64}">
  <sheetPr codeName="Sheet8"/>
  <dimension ref="A1:L52"/>
  <sheetViews>
    <sheetView showGridLines="0" topLeftCell="F5" zoomScale="80" zoomScaleNormal="80" workbookViewId="0">
      <selection activeCell="L21" sqref="L21"/>
    </sheetView>
  </sheetViews>
  <sheetFormatPr defaultRowHeight="15"/>
  <cols>
    <col min="1" max="1" width="18.140625" customWidth="1"/>
    <col min="2" max="2" width="54" bestFit="1" customWidth="1"/>
    <col min="3" max="3" width="26.5703125" customWidth="1"/>
    <col min="4" max="4" width="18.140625" bestFit="1" customWidth="1"/>
    <col min="5" max="5" width="12" customWidth="1"/>
    <col min="6" max="6" width="88" customWidth="1"/>
    <col min="7" max="7" width="16.7109375" customWidth="1"/>
    <col min="8" max="8" width="17" bestFit="1" customWidth="1"/>
    <col min="10" max="10" width="34.5703125" customWidth="1"/>
    <col min="11" max="11" width="19.85546875" customWidth="1"/>
    <col min="12" max="12" width="34.85546875" customWidth="1"/>
  </cols>
  <sheetData>
    <row r="1" spans="1:12" ht="19.5" customHeight="1">
      <c r="A1" s="1068" t="s">
        <v>490</v>
      </c>
      <c r="B1" s="1069"/>
      <c r="C1" s="1069"/>
      <c r="D1" s="1070"/>
      <c r="E1" s="1068" t="s">
        <v>526</v>
      </c>
      <c r="F1" s="1069"/>
      <c r="G1" s="1069"/>
      <c r="H1" s="1070"/>
      <c r="I1" s="1068" t="s">
        <v>527</v>
      </c>
      <c r="J1" s="1069"/>
      <c r="K1" s="1069"/>
      <c r="L1" s="1070"/>
    </row>
    <row r="2" spans="1:12" ht="36.75" customHeight="1">
      <c r="A2" s="12"/>
      <c r="B2" s="13"/>
      <c r="C2" s="14"/>
      <c r="D2" s="44" t="s">
        <v>118</v>
      </c>
      <c r="E2" s="12"/>
      <c r="F2" s="13"/>
      <c r="G2" s="14"/>
      <c r="H2" s="44" t="s">
        <v>118</v>
      </c>
      <c r="I2" s="12"/>
      <c r="J2" s="13"/>
      <c r="K2" s="14"/>
      <c r="L2" s="44" t="s">
        <v>118</v>
      </c>
    </row>
    <row r="3" spans="1:12" ht="34.5" customHeight="1">
      <c r="A3" s="15" t="s">
        <v>53</v>
      </c>
      <c r="B3" s="16" t="s">
        <v>54</v>
      </c>
      <c r="C3" s="16" t="s">
        <v>88</v>
      </c>
      <c r="D3" s="164">
        <f>D4+D12</f>
        <v>4058.0986526080001</v>
      </c>
      <c r="E3" s="15" t="s">
        <v>53</v>
      </c>
      <c r="F3" s="16" t="s">
        <v>54</v>
      </c>
      <c r="G3" s="16" t="s">
        <v>88</v>
      </c>
      <c r="H3" s="45">
        <f>H4+H12</f>
        <v>4442.4986686079992</v>
      </c>
      <c r="I3" s="15" t="s">
        <v>53</v>
      </c>
      <c r="J3" s="16" t="s">
        <v>54</v>
      </c>
      <c r="K3" s="16" t="s">
        <v>88</v>
      </c>
      <c r="L3" s="45">
        <f>L4+L12</f>
        <v>2415</v>
      </c>
    </row>
    <row r="4" spans="1:12" ht="28.5" customHeight="1">
      <c r="A4" s="7" t="s">
        <v>55</v>
      </c>
      <c r="B4" s="4" t="s">
        <v>56</v>
      </c>
      <c r="C4" s="4"/>
      <c r="D4" s="79">
        <f>SUM(D5:D11)</f>
        <v>3004.047054528</v>
      </c>
      <c r="E4" s="7" t="s">
        <v>55</v>
      </c>
      <c r="F4" s="4" t="s">
        <v>56</v>
      </c>
      <c r="G4" s="4"/>
      <c r="H4" s="46">
        <f>SUM(H5:H11)</f>
        <v>3288.6029105279995</v>
      </c>
      <c r="I4" s="7" t="s">
        <v>55</v>
      </c>
      <c r="J4" s="4" t="s">
        <v>56</v>
      </c>
      <c r="K4" s="4"/>
      <c r="L4" s="46">
        <f>SUM(L5:L11)</f>
        <v>1852.5</v>
      </c>
    </row>
    <row r="5" spans="1:12" ht="38.25">
      <c r="A5" s="8">
        <v>1</v>
      </c>
      <c r="B5" s="5" t="s">
        <v>138</v>
      </c>
      <c r="C5" s="6">
        <v>1</v>
      </c>
      <c r="D5" s="47">
        <f>D39</f>
        <v>2027.0223040000001</v>
      </c>
      <c r="E5" s="8">
        <v>1</v>
      </c>
      <c r="F5" s="5" t="s">
        <v>353</v>
      </c>
      <c r="G5" s="6">
        <v>1</v>
      </c>
      <c r="H5" s="47">
        <f>H39</f>
        <v>2219.0303039999999</v>
      </c>
      <c r="I5" s="8">
        <v>1</v>
      </c>
      <c r="J5" s="5" t="s">
        <v>353</v>
      </c>
      <c r="K5" s="6">
        <v>1</v>
      </c>
      <c r="L5" s="47">
        <v>1250</v>
      </c>
    </row>
    <row r="6" spans="1:12" ht="26.25" customHeight="1">
      <c r="A6" s="8">
        <v>2</v>
      </c>
      <c r="B6" s="5" t="s">
        <v>57</v>
      </c>
      <c r="C6" s="6">
        <v>0.2</v>
      </c>
      <c r="D6" s="48">
        <f t="shared" ref="D6:D11" si="0">$D$5*C6</f>
        <v>405.40446080000004</v>
      </c>
      <c r="E6" s="8">
        <v>2</v>
      </c>
      <c r="F6" s="5" t="s">
        <v>57</v>
      </c>
      <c r="G6" s="6">
        <v>0.2</v>
      </c>
      <c r="H6" s="48">
        <f t="shared" ref="H6:H11" si="1">$H$5*G6</f>
        <v>443.80606080000001</v>
      </c>
      <c r="I6" s="8">
        <v>2</v>
      </c>
      <c r="J6" s="5" t="s">
        <v>57</v>
      </c>
      <c r="K6" s="6">
        <v>0.2</v>
      </c>
      <c r="L6" s="48">
        <f>$L$5*K6</f>
        <v>250</v>
      </c>
    </row>
    <row r="7" spans="1:12">
      <c r="A7" s="8">
        <v>3</v>
      </c>
      <c r="B7" s="5" t="s">
        <v>58</v>
      </c>
      <c r="C7" s="6">
        <v>0.18</v>
      </c>
      <c r="D7" s="48">
        <f t="shared" si="0"/>
        <v>364.86401472</v>
      </c>
      <c r="E7" s="8">
        <v>3</v>
      </c>
      <c r="F7" s="5" t="s">
        <v>58</v>
      </c>
      <c r="G7" s="6">
        <v>0.18</v>
      </c>
      <c r="H7" s="48">
        <f t="shared" si="1"/>
        <v>399.42545471999995</v>
      </c>
      <c r="I7" s="8">
        <v>3</v>
      </c>
      <c r="J7" s="5" t="s">
        <v>58</v>
      </c>
      <c r="K7" s="6">
        <v>0.18</v>
      </c>
      <c r="L7" s="48">
        <f t="shared" ref="L7:L11" si="2">$L$5*K7</f>
        <v>225</v>
      </c>
    </row>
    <row r="8" spans="1:12">
      <c r="A8" s="8">
        <v>4</v>
      </c>
      <c r="B8" s="5" t="s">
        <v>59</v>
      </c>
      <c r="C8" s="6">
        <v>0.02</v>
      </c>
      <c r="D8" s="48">
        <f t="shared" si="0"/>
        <v>40.540446080000002</v>
      </c>
      <c r="E8" s="8">
        <v>4</v>
      </c>
      <c r="F8" s="5" t="s">
        <v>59</v>
      </c>
      <c r="G8" s="6">
        <v>0.02</v>
      </c>
      <c r="H8" s="48">
        <f t="shared" si="1"/>
        <v>44.38060608</v>
      </c>
      <c r="I8" s="8">
        <v>4</v>
      </c>
      <c r="J8" s="5" t="s">
        <v>59</v>
      </c>
      <c r="K8" s="6">
        <v>0.02</v>
      </c>
      <c r="L8" s="48">
        <f t="shared" si="2"/>
        <v>25</v>
      </c>
    </row>
    <row r="9" spans="1:12">
      <c r="A9" s="8">
        <v>5</v>
      </c>
      <c r="B9" s="5" t="s">
        <v>60</v>
      </c>
      <c r="C9" s="6">
        <v>0.01</v>
      </c>
      <c r="D9" s="48">
        <f t="shared" si="0"/>
        <v>20.270223040000001</v>
      </c>
      <c r="E9" s="8">
        <v>5</v>
      </c>
      <c r="F9" s="5" t="s">
        <v>60</v>
      </c>
      <c r="G9" s="6">
        <v>0.01</v>
      </c>
      <c r="H9" s="48">
        <f t="shared" si="1"/>
        <v>22.19030304</v>
      </c>
      <c r="I9" s="8">
        <v>5</v>
      </c>
      <c r="J9" s="5" t="s">
        <v>60</v>
      </c>
      <c r="K9" s="6">
        <v>0.01</v>
      </c>
      <c r="L9" s="48">
        <f t="shared" si="2"/>
        <v>12.5</v>
      </c>
    </row>
    <row r="10" spans="1:12">
      <c r="A10" s="8">
        <v>6</v>
      </c>
      <c r="B10" s="5" t="s">
        <v>61</v>
      </c>
      <c r="C10" s="6">
        <v>2.1999999999999999E-2</v>
      </c>
      <c r="D10" s="48">
        <f t="shared" si="0"/>
        <v>44.594490688</v>
      </c>
      <c r="E10" s="8">
        <v>6</v>
      </c>
      <c r="F10" s="5" t="s">
        <v>61</v>
      </c>
      <c r="G10" s="6">
        <v>2.1999999999999999E-2</v>
      </c>
      <c r="H10" s="48">
        <f t="shared" si="1"/>
        <v>48.818666687999993</v>
      </c>
      <c r="I10" s="8">
        <v>6</v>
      </c>
      <c r="J10" s="5" t="s">
        <v>61</v>
      </c>
      <c r="K10" s="6">
        <v>2.1999999999999999E-2</v>
      </c>
      <c r="L10" s="48">
        <f t="shared" si="2"/>
        <v>27.5</v>
      </c>
    </row>
    <row r="11" spans="1:12">
      <c r="A11" s="8">
        <v>7</v>
      </c>
      <c r="B11" s="5" t="s">
        <v>62</v>
      </c>
      <c r="C11" s="6">
        <v>0.05</v>
      </c>
      <c r="D11" s="48">
        <f t="shared" si="0"/>
        <v>101.35111520000001</v>
      </c>
      <c r="E11" s="8">
        <v>7</v>
      </c>
      <c r="F11" s="5" t="s">
        <v>62</v>
      </c>
      <c r="G11" s="6">
        <v>0.05</v>
      </c>
      <c r="H11" s="48">
        <f t="shared" si="1"/>
        <v>110.9515152</v>
      </c>
      <c r="I11" s="8">
        <v>7</v>
      </c>
      <c r="J11" s="5" t="s">
        <v>62</v>
      </c>
      <c r="K11" s="6">
        <v>0.05</v>
      </c>
      <c r="L11" s="48">
        <f t="shared" si="2"/>
        <v>62.5</v>
      </c>
    </row>
    <row r="12" spans="1:12" ht="28.5" customHeight="1">
      <c r="A12" s="8" t="s">
        <v>63</v>
      </c>
      <c r="B12" s="4" t="s">
        <v>64</v>
      </c>
      <c r="C12" s="4"/>
      <c r="D12" s="79">
        <f>SUM(D13:D17)</f>
        <v>1054.0515980800001</v>
      </c>
      <c r="E12" s="8" t="s">
        <v>63</v>
      </c>
      <c r="F12" s="4" t="s">
        <v>64</v>
      </c>
      <c r="G12" s="4"/>
      <c r="H12" s="79">
        <f>SUM(H13:H17)</f>
        <v>1153.89575808</v>
      </c>
      <c r="I12" s="8" t="s">
        <v>63</v>
      </c>
      <c r="J12" s="4" t="s">
        <v>64</v>
      </c>
      <c r="K12" s="4"/>
      <c r="L12" s="79">
        <f>SUM(L13:L17)</f>
        <v>562.5</v>
      </c>
    </row>
    <row r="13" spans="1:12">
      <c r="A13" s="8">
        <v>8</v>
      </c>
      <c r="B13" s="5" t="s">
        <v>65</v>
      </c>
      <c r="C13" s="6">
        <v>0.1</v>
      </c>
      <c r="D13" s="48">
        <f>$D$5*C13</f>
        <v>202.70223040000002</v>
      </c>
      <c r="E13" s="8">
        <v>8</v>
      </c>
      <c r="F13" s="5" t="s">
        <v>65</v>
      </c>
      <c r="G13" s="6">
        <v>0.1</v>
      </c>
      <c r="H13" s="48">
        <f>$H$5*G13</f>
        <v>221.90303040000001</v>
      </c>
      <c r="I13" s="8">
        <v>8</v>
      </c>
      <c r="J13" s="5" t="s">
        <v>65</v>
      </c>
      <c r="K13" s="6">
        <v>0.1</v>
      </c>
      <c r="L13" s="48">
        <f>$L$5*K13</f>
        <v>125</v>
      </c>
    </row>
    <row r="14" spans="1:12">
      <c r="A14" s="8">
        <v>9</v>
      </c>
      <c r="B14" s="5" t="s">
        <v>66</v>
      </c>
      <c r="C14" s="6">
        <v>0.25</v>
      </c>
      <c r="D14" s="48">
        <f t="shared" ref="D14:D19" si="3">$D$5*C14</f>
        <v>506.75557600000002</v>
      </c>
      <c r="E14" s="8">
        <v>9</v>
      </c>
      <c r="F14" s="5" t="s">
        <v>66</v>
      </c>
      <c r="G14" s="6">
        <v>0.25</v>
      </c>
      <c r="H14" s="48">
        <f>$H$5*G14</f>
        <v>554.75757599999997</v>
      </c>
      <c r="I14" s="8">
        <v>9</v>
      </c>
      <c r="J14" s="5" t="s">
        <v>66</v>
      </c>
      <c r="K14" s="6">
        <v>0.18</v>
      </c>
      <c r="L14" s="48">
        <f t="shared" ref="L14:L17" si="4">$L$5*K14</f>
        <v>225</v>
      </c>
    </row>
    <row r="15" spans="1:12">
      <c r="A15" s="8">
        <v>10</v>
      </c>
      <c r="B15" s="5" t="s">
        <v>67</v>
      </c>
      <c r="C15" s="6">
        <v>0.02</v>
      </c>
      <c r="D15" s="48">
        <f t="shared" si="3"/>
        <v>40.540446080000002</v>
      </c>
      <c r="E15" s="8">
        <v>10</v>
      </c>
      <c r="F15" s="5" t="s">
        <v>67</v>
      </c>
      <c r="G15" s="6">
        <v>0.02</v>
      </c>
      <c r="H15" s="48">
        <f>$H$5*G15</f>
        <v>44.38060608</v>
      </c>
      <c r="I15" s="8">
        <v>10</v>
      </c>
      <c r="J15" s="5" t="s">
        <v>67</v>
      </c>
      <c r="K15" s="6">
        <v>0.02</v>
      </c>
      <c r="L15" s="48">
        <f t="shared" si="4"/>
        <v>25</v>
      </c>
    </row>
    <row r="16" spans="1:12">
      <c r="A16" s="8">
        <v>11</v>
      </c>
      <c r="B16" s="5" t="s">
        <v>68</v>
      </c>
      <c r="C16" s="6">
        <v>0.1</v>
      </c>
      <c r="D16" s="48">
        <f t="shared" si="3"/>
        <v>202.70223040000002</v>
      </c>
      <c r="E16" s="8">
        <v>11</v>
      </c>
      <c r="F16" s="5" t="s">
        <v>68</v>
      </c>
      <c r="G16" s="6">
        <v>0.1</v>
      </c>
      <c r="H16" s="48">
        <f>$H$5*G16</f>
        <v>221.90303040000001</v>
      </c>
      <c r="I16" s="8">
        <v>11</v>
      </c>
      <c r="J16" s="5" t="s">
        <v>68</v>
      </c>
      <c r="K16" s="6">
        <v>0.1</v>
      </c>
      <c r="L16" s="48">
        <f t="shared" si="4"/>
        <v>125</v>
      </c>
    </row>
    <row r="17" spans="1:12">
      <c r="A17" s="8">
        <v>12</v>
      </c>
      <c r="B17" s="5" t="s">
        <v>69</v>
      </c>
      <c r="C17" s="11">
        <v>0.05</v>
      </c>
      <c r="D17" s="48">
        <f t="shared" si="3"/>
        <v>101.35111520000001</v>
      </c>
      <c r="E17" s="8">
        <v>12</v>
      </c>
      <c r="F17" s="5" t="s">
        <v>69</v>
      </c>
      <c r="G17" s="11">
        <v>0.05</v>
      </c>
      <c r="H17" s="48">
        <f>$H$5*G17</f>
        <v>110.9515152</v>
      </c>
      <c r="I17" s="8">
        <v>12</v>
      </c>
      <c r="J17" s="5" t="s">
        <v>69</v>
      </c>
      <c r="K17" s="11">
        <v>0.05</v>
      </c>
      <c r="L17" s="48">
        <f t="shared" si="4"/>
        <v>62.5</v>
      </c>
    </row>
    <row r="18" spans="1:12">
      <c r="A18" s="7" t="s">
        <v>70</v>
      </c>
      <c r="B18" s="4" t="s">
        <v>71</v>
      </c>
      <c r="C18" s="4"/>
      <c r="D18" s="79">
        <f>SUM(D19)</f>
        <v>101.35111520000001</v>
      </c>
      <c r="E18" s="7" t="s">
        <v>70</v>
      </c>
      <c r="F18" s="4" t="s">
        <v>71</v>
      </c>
      <c r="G18" s="4"/>
      <c r="H18" s="79">
        <f>SUM(H19)</f>
        <v>110.9515152</v>
      </c>
      <c r="I18" s="7" t="s">
        <v>70</v>
      </c>
      <c r="J18" s="4" t="s">
        <v>71</v>
      </c>
      <c r="K18" s="4"/>
      <c r="L18" s="79">
        <f>SUM(L19)</f>
        <v>62.5</v>
      </c>
    </row>
    <row r="19" spans="1:12" ht="18" customHeight="1">
      <c r="A19" s="8">
        <v>13</v>
      </c>
      <c r="B19" s="5" t="s">
        <v>72</v>
      </c>
      <c r="C19" s="6">
        <v>0.05</v>
      </c>
      <c r="D19" s="48">
        <f t="shared" si="3"/>
        <v>101.35111520000001</v>
      </c>
      <c r="E19" s="8">
        <v>13</v>
      </c>
      <c r="F19" s="5" t="s">
        <v>72</v>
      </c>
      <c r="G19" s="6">
        <v>0.05</v>
      </c>
      <c r="H19" s="48">
        <f>$H$5*G19</f>
        <v>110.9515152</v>
      </c>
      <c r="I19" s="8">
        <v>13</v>
      </c>
      <c r="J19" s="5" t="s">
        <v>72</v>
      </c>
      <c r="K19" s="6">
        <v>0.05</v>
      </c>
      <c r="L19" s="48">
        <f>$L$5*K19</f>
        <v>62.5</v>
      </c>
    </row>
    <row r="20" spans="1:12" ht="30" customHeight="1">
      <c r="A20" s="8"/>
      <c r="B20" s="5"/>
      <c r="C20" s="6"/>
      <c r="D20" s="48"/>
      <c r="E20" s="8">
        <v>14</v>
      </c>
      <c r="F20" s="5" t="s">
        <v>385</v>
      </c>
      <c r="G20" s="6"/>
      <c r="H20" s="48">
        <v>1500</v>
      </c>
      <c r="I20" s="8">
        <v>14</v>
      </c>
      <c r="J20" s="5" t="s">
        <v>487</v>
      </c>
      <c r="K20" s="6"/>
      <c r="L20" s="48">
        <v>1950</v>
      </c>
    </row>
    <row r="21" spans="1:12">
      <c r="A21" s="9"/>
      <c r="B21" s="10" t="s">
        <v>73</v>
      </c>
      <c r="C21" s="10" t="s">
        <v>89</v>
      </c>
      <c r="D21" s="232">
        <f>D3+D18</f>
        <v>4159.4497678079997</v>
      </c>
      <c r="E21" s="9"/>
      <c r="F21" s="10" t="s">
        <v>73</v>
      </c>
      <c r="G21" s="10" t="s">
        <v>89</v>
      </c>
      <c r="H21" s="232">
        <f>H3+H18+H20</f>
        <v>6053.4501838079996</v>
      </c>
      <c r="I21" s="9"/>
      <c r="J21" s="10" t="s">
        <v>73</v>
      </c>
      <c r="K21" s="10" t="s">
        <v>89</v>
      </c>
      <c r="L21" s="232">
        <f>L3+L18+L20</f>
        <v>4427.5</v>
      </c>
    </row>
    <row r="23" spans="1:12">
      <c r="D23" s="106"/>
      <c r="H23" s="105"/>
    </row>
    <row r="24" spans="1:12">
      <c r="A24" s="151" t="s">
        <v>117</v>
      </c>
      <c r="B24" s="151" t="s">
        <v>352</v>
      </c>
      <c r="C24" s="151" t="s">
        <v>116</v>
      </c>
      <c r="D24" s="151" t="s">
        <v>118</v>
      </c>
      <c r="E24" s="151" t="s">
        <v>117</v>
      </c>
      <c r="F24" s="151" t="str">
        <f>E1</f>
        <v>Capacity for 500 KTPA PVC Plant (350 KTPA from captive Ethylene and 150 KTPA EDC / VCM Outsourced)</v>
      </c>
      <c r="G24" s="151" t="s">
        <v>116</v>
      </c>
      <c r="H24" s="151" t="s">
        <v>118</v>
      </c>
    </row>
    <row r="25" spans="1:12">
      <c r="A25" s="2">
        <v>1</v>
      </c>
      <c r="B25" s="1" t="s">
        <v>451</v>
      </c>
      <c r="C25" s="58">
        <v>9</v>
      </c>
      <c r="D25" s="33">
        <v>630</v>
      </c>
      <c r="E25" s="52">
        <v>1</v>
      </c>
      <c r="F25" s="1" t="s">
        <v>451</v>
      </c>
      <c r="G25" s="58">
        <v>9</v>
      </c>
      <c r="H25" s="33">
        <v>650</v>
      </c>
    </row>
    <row r="26" spans="1:12">
      <c r="A26" s="2">
        <v>2</v>
      </c>
      <c r="B26" s="1" t="s">
        <v>121</v>
      </c>
      <c r="C26" s="58">
        <v>6</v>
      </c>
      <c r="D26" s="33">
        <v>340</v>
      </c>
      <c r="E26" s="52">
        <v>2</v>
      </c>
      <c r="F26" s="1" t="s">
        <v>121</v>
      </c>
      <c r="G26" s="58">
        <v>6</v>
      </c>
      <c r="H26" s="33">
        <v>330</v>
      </c>
    </row>
    <row r="27" spans="1:12">
      <c r="A27" s="2">
        <v>3</v>
      </c>
      <c r="B27" s="1" t="s">
        <v>120</v>
      </c>
      <c r="C27" s="58">
        <v>4</v>
      </c>
      <c r="D27" s="33">
        <v>210</v>
      </c>
      <c r="E27" s="52">
        <v>3</v>
      </c>
      <c r="F27" s="1" t="s">
        <v>120</v>
      </c>
      <c r="G27" s="58">
        <v>4</v>
      </c>
      <c r="H27" s="33">
        <v>230</v>
      </c>
    </row>
    <row r="28" spans="1:12">
      <c r="A28" s="2">
        <v>4</v>
      </c>
      <c r="B28" s="1" t="s">
        <v>119</v>
      </c>
      <c r="C28" s="58">
        <v>1</v>
      </c>
      <c r="D28" s="33">
        <v>117.8</v>
      </c>
      <c r="E28" s="52">
        <v>4</v>
      </c>
      <c r="F28" s="1" t="s">
        <v>119</v>
      </c>
      <c r="G28" s="58">
        <v>1</v>
      </c>
      <c r="H28" s="33">
        <v>210</v>
      </c>
    </row>
    <row r="29" spans="1:12">
      <c r="A29" s="2">
        <v>5</v>
      </c>
      <c r="B29" s="1" t="s">
        <v>113</v>
      </c>
      <c r="C29" s="58">
        <v>1</v>
      </c>
      <c r="D29" s="33">
        <v>60.191999999999993</v>
      </c>
      <c r="E29" s="52">
        <v>5</v>
      </c>
      <c r="F29" s="1" t="s">
        <v>113</v>
      </c>
      <c r="G29" s="58">
        <v>1</v>
      </c>
      <c r="H29" s="33">
        <v>70</v>
      </c>
    </row>
    <row r="30" spans="1:12">
      <c r="A30" s="2">
        <v>6</v>
      </c>
      <c r="B30" s="1" t="s">
        <v>114</v>
      </c>
      <c r="C30" s="58">
        <v>1</v>
      </c>
      <c r="D30" s="33">
        <v>31.92</v>
      </c>
      <c r="E30" s="52">
        <v>6</v>
      </c>
      <c r="F30" s="1" t="s">
        <v>114</v>
      </c>
      <c r="G30" s="58">
        <v>1</v>
      </c>
      <c r="H30" s="33">
        <v>31.92</v>
      </c>
    </row>
    <row r="31" spans="1:12">
      <c r="A31" s="2">
        <v>7</v>
      </c>
      <c r="B31" s="1" t="s">
        <v>112</v>
      </c>
      <c r="C31" s="58">
        <v>7</v>
      </c>
      <c r="D31" s="33">
        <v>21.001536000000002</v>
      </c>
      <c r="E31" s="52">
        <v>7</v>
      </c>
      <c r="F31" s="1" t="s">
        <v>112</v>
      </c>
      <c r="G31" s="58">
        <v>7</v>
      </c>
      <c r="H31" s="33">
        <v>21.001536000000002</v>
      </c>
    </row>
    <row r="32" spans="1:12">
      <c r="A32" s="2">
        <v>8</v>
      </c>
      <c r="B32" s="1" t="s">
        <v>255</v>
      </c>
      <c r="C32" s="58">
        <v>1</v>
      </c>
      <c r="D32" s="33">
        <v>12.804479999999998</v>
      </c>
      <c r="E32" s="52">
        <v>8</v>
      </c>
      <c r="F32" s="1" t="s">
        <v>255</v>
      </c>
      <c r="G32" s="58">
        <v>1</v>
      </c>
      <c r="H32" s="33">
        <v>12.804479999999998</v>
      </c>
    </row>
    <row r="33" spans="1:8">
      <c r="A33" s="2">
        <v>9</v>
      </c>
      <c r="B33" s="1" t="s">
        <v>111</v>
      </c>
      <c r="C33" s="58">
        <v>4</v>
      </c>
      <c r="D33" s="33">
        <v>9.4610880000000019</v>
      </c>
      <c r="E33" s="52">
        <v>9</v>
      </c>
      <c r="F33" s="1" t="s">
        <v>111</v>
      </c>
      <c r="G33" s="58">
        <v>4</v>
      </c>
      <c r="H33" s="33">
        <v>9.4610880000000019</v>
      </c>
    </row>
    <row r="34" spans="1:8">
      <c r="A34" s="2">
        <v>10</v>
      </c>
      <c r="B34" s="1" t="s">
        <v>115</v>
      </c>
      <c r="C34" s="58">
        <v>1</v>
      </c>
      <c r="D34" s="33">
        <v>7.8431999999999995</v>
      </c>
      <c r="E34" s="52">
        <v>10</v>
      </c>
      <c r="F34" s="1" t="s">
        <v>115</v>
      </c>
      <c r="G34" s="58">
        <v>1</v>
      </c>
      <c r="H34" s="33">
        <v>7.8431999999999995</v>
      </c>
    </row>
    <row r="35" spans="1:8">
      <c r="A35" s="2">
        <v>12</v>
      </c>
      <c r="B35" s="1" t="s">
        <v>407</v>
      </c>
      <c r="C35" s="58"/>
      <c r="D35" s="33">
        <v>450</v>
      </c>
      <c r="E35" s="52">
        <v>11</v>
      </c>
      <c r="F35" s="1" t="s">
        <v>407</v>
      </c>
      <c r="G35" s="58"/>
      <c r="H35" s="33">
        <v>475</v>
      </c>
    </row>
    <row r="36" spans="1:8">
      <c r="A36" s="2">
        <v>13</v>
      </c>
      <c r="B36" s="1" t="s">
        <v>384</v>
      </c>
      <c r="C36" s="58"/>
      <c r="D36" s="33">
        <v>20</v>
      </c>
      <c r="E36" s="52">
        <v>12</v>
      </c>
      <c r="F36" s="1" t="s">
        <v>354</v>
      </c>
      <c r="G36" s="58"/>
      <c r="H36" s="33">
        <v>25</v>
      </c>
    </row>
    <row r="37" spans="1:8">
      <c r="A37" s="2">
        <v>14</v>
      </c>
      <c r="B37" s="1" t="s">
        <v>357</v>
      </c>
      <c r="C37" s="58"/>
      <c r="D37" s="33">
        <v>21</v>
      </c>
      <c r="E37" s="52">
        <v>13</v>
      </c>
      <c r="F37" s="1" t="s">
        <v>357</v>
      </c>
      <c r="G37" s="58"/>
      <c r="H37" s="33">
        <v>21</v>
      </c>
    </row>
    <row r="38" spans="1:8" ht="26.25">
      <c r="A38" s="2">
        <v>15</v>
      </c>
      <c r="B38" s="163" t="s">
        <v>408</v>
      </c>
      <c r="C38" s="58"/>
      <c r="D38" s="165">
        <v>95</v>
      </c>
      <c r="E38" s="52">
        <v>14</v>
      </c>
      <c r="F38" s="314" t="s">
        <v>452</v>
      </c>
      <c r="G38" s="17"/>
      <c r="H38" s="165">
        <v>125</v>
      </c>
    </row>
    <row r="39" spans="1:8" ht="33" customHeight="1">
      <c r="A39" s="340"/>
      <c r="B39" s="188" t="s">
        <v>150</v>
      </c>
      <c r="C39" s="341"/>
      <c r="D39" s="342">
        <f>SUM(D25:D38)</f>
        <v>2027.0223040000001</v>
      </c>
      <c r="E39" s="340"/>
      <c r="F39" s="188" t="s">
        <v>150</v>
      </c>
      <c r="G39" s="341"/>
      <c r="H39" s="342">
        <f>SUM(H25:H38)</f>
        <v>2219.0303039999999</v>
      </c>
    </row>
    <row r="42" spans="1:8">
      <c r="E42" s="58"/>
      <c r="F42" s="1"/>
      <c r="G42" s="58"/>
    </row>
    <row r="43" spans="1:8">
      <c r="A43" s="1072" t="s">
        <v>249</v>
      </c>
      <c r="B43" s="115" t="s">
        <v>250</v>
      </c>
      <c r="C43" s="115" t="s">
        <v>252</v>
      </c>
      <c r="D43" s="116" t="s">
        <v>251</v>
      </c>
      <c r="E43" s="58"/>
      <c r="F43" s="1"/>
      <c r="G43" s="58"/>
      <c r="H43" s="32"/>
    </row>
    <row r="44" spans="1:8">
      <c r="A44" s="1073"/>
      <c r="B44" s="112" t="s">
        <v>236</v>
      </c>
      <c r="C44" s="113">
        <f>D44*C$46</f>
        <v>1378.3751667200002</v>
      </c>
      <c r="D44" s="114">
        <v>0.68</v>
      </c>
      <c r="E44" s="58"/>
      <c r="F44" s="1"/>
      <c r="G44" s="58"/>
      <c r="H44" s="32"/>
    </row>
    <row r="45" spans="1:8">
      <c r="A45" s="1073"/>
      <c r="B45" s="112" t="s">
        <v>237</v>
      </c>
      <c r="C45" s="113">
        <f>D45*C$46</f>
        <v>648.64713728000004</v>
      </c>
      <c r="D45" s="114">
        <v>0.32</v>
      </c>
      <c r="E45" s="58"/>
      <c r="F45" s="1"/>
      <c r="G45" s="58"/>
      <c r="H45" s="32"/>
    </row>
    <row r="46" spans="1:8">
      <c r="A46" s="1074"/>
      <c r="B46" s="117"/>
      <c r="C46" s="118">
        <f>D39</f>
        <v>2027.0223040000001</v>
      </c>
      <c r="D46" s="117"/>
      <c r="E46" s="58"/>
      <c r="F46" s="1"/>
      <c r="G46" s="58"/>
      <c r="H46" s="32"/>
    </row>
    <row r="47" spans="1:8">
      <c r="E47" s="107"/>
      <c r="F47" s="107"/>
    </row>
    <row r="48" spans="1:8" ht="34.5" customHeight="1">
      <c r="A48" s="1071" t="s">
        <v>409</v>
      </c>
      <c r="B48" s="1071"/>
      <c r="C48" s="1071"/>
      <c r="D48" s="1071"/>
      <c r="E48" s="292"/>
      <c r="F48" s="292"/>
    </row>
    <row r="49" spans="1:4" ht="27" customHeight="1">
      <c r="A49" s="1071" t="s">
        <v>410</v>
      </c>
      <c r="B49" s="1071"/>
      <c r="C49" s="1071"/>
      <c r="D49" s="1071"/>
    </row>
    <row r="50" spans="1:4" ht="30.75" customHeight="1">
      <c r="A50" s="1071" t="s">
        <v>411</v>
      </c>
      <c r="B50" s="1071"/>
      <c r="C50" s="1071"/>
      <c r="D50" s="1071"/>
    </row>
    <row r="51" spans="1:4" ht="37.5" customHeight="1">
      <c r="A51" s="1071" t="s">
        <v>413</v>
      </c>
      <c r="B51" s="1071"/>
      <c r="C51" s="1071"/>
      <c r="D51" s="1071"/>
    </row>
    <row r="52" spans="1:4" ht="41.25" customHeight="1">
      <c r="A52" s="1071" t="s">
        <v>412</v>
      </c>
      <c r="B52" s="1071"/>
      <c r="C52" s="1071"/>
      <c r="D52" s="1071"/>
    </row>
  </sheetData>
  <sortState xmlns:xlrd2="http://schemas.microsoft.com/office/spreadsheetml/2017/richdata2" ref="B25:D34">
    <sortCondition descending="1" ref="D25:D34"/>
  </sortState>
  <mergeCells count="9">
    <mergeCell ref="I1:L1"/>
    <mergeCell ref="A51:D51"/>
    <mergeCell ref="A52:D52"/>
    <mergeCell ref="A1:D1"/>
    <mergeCell ref="A43:A46"/>
    <mergeCell ref="E1:H1"/>
    <mergeCell ref="A48:D48"/>
    <mergeCell ref="A50:D50"/>
    <mergeCell ref="A49:D49"/>
  </mergeCells>
  <pageMargins left="0.7" right="0.7" top="0.75" bottom="0.75" header="0.3" footer="0.3"/>
  <pageSetup orientation="portrait" r:id="rId1"/>
  <ignoredErrors>
    <ignoredError sqref="H18 D18 H12 D12"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A47E-14F3-458B-BF9B-68A11A3083FE}">
  <sheetPr codeName="Sheet7"/>
  <dimension ref="A1:AL122"/>
  <sheetViews>
    <sheetView showGridLines="0" topLeftCell="A38" zoomScale="80" zoomScaleNormal="80" workbookViewId="0">
      <selection activeCell="E60" sqref="E60"/>
    </sheetView>
  </sheetViews>
  <sheetFormatPr defaultRowHeight="15"/>
  <cols>
    <col min="1" max="1" width="95.140625" customWidth="1"/>
    <col min="2" max="2" width="23.85546875" customWidth="1"/>
    <col min="3" max="3" width="24.140625" customWidth="1"/>
    <col min="4" max="4" width="14.7109375" bestFit="1" customWidth="1"/>
    <col min="5" max="5" width="20.42578125" customWidth="1"/>
    <col min="6" max="6" width="15.7109375" customWidth="1"/>
    <col min="7" max="7" width="30.5703125" customWidth="1"/>
    <col min="8" max="8" width="22.140625" customWidth="1"/>
    <col min="9" max="9" width="18.140625" customWidth="1"/>
    <col min="10" max="10" width="17.140625" customWidth="1"/>
    <col min="11" max="11" width="21.140625" customWidth="1"/>
    <col min="12" max="12" width="15.7109375" customWidth="1"/>
    <col min="13" max="13" width="27.5703125" customWidth="1"/>
    <col min="14" max="25" width="15.7109375" customWidth="1"/>
    <col min="26" max="36" width="9.140625" customWidth="1"/>
  </cols>
  <sheetData>
    <row r="1" spans="1:24">
      <c r="A1" s="265" t="str">
        <f>Capex!A1</f>
        <v>Capacity for 350 KTPA PVC Plant using Captive Ethylene</v>
      </c>
      <c r="B1" s="588"/>
      <c r="C1" s="588"/>
      <c r="D1" s="588"/>
      <c r="E1" s="266" t="s">
        <v>118</v>
      </c>
      <c r="F1" s="496">
        <v>2028</v>
      </c>
      <c r="G1" s="496">
        <v>2029</v>
      </c>
      <c r="H1" s="496">
        <v>2030</v>
      </c>
      <c r="I1" s="496">
        <v>2031</v>
      </c>
      <c r="J1" s="496">
        <v>2032</v>
      </c>
      <c r="K1" s="496">
        <v>2033</v>
      </c>
      <c r="L1" s="496">
        <v>2034</v>
      </c>
      <c r="M1" s="496">
        <v>2035</v>
      </c>
      <c r="N1" s="496">
        <v>2036</v>
      </c>
      <c r="O1" s="496">
        <v>2037</v>
      </c>
      <c r="P1" s="496">
        <v>2038</v>
      </c>
      <c r="Q1" s="496">
        <v>2039</v>
      </c>
      <c r="R1" s="496">
        <v>2040</v>
      </c>
      <c r="S1" s="496">
        <v>2041</v>
      </c>
      <c r="T1" s="496">
        <v>2042</v>
      </c>
      <c r="U1" s="496">
        <v>2043</v>
      </c>
      <c r="V1" s="496">
        <v>2044</v>
      </c>
      <c r="W1" s="496">
        <v>2045</v>
      </c>
      <c r="X1" s="496">
        <v>2046</v>
      </c>
    </row>
    <row r="2" spans="1:24" ht="16.5" customHeight="1">
      <c r="A2" s="282" t="s">
        <v>11</v>
      </c>
      <c r="B2" s="37" t="s">
        <v>76</v>
      </c>
      <c r="C2" s="37" t="s">
        <v>77</v>
      </c>
      <c r="D2" s="272"/>
      <c r="E2" s="273">
        <f>E3+E9+E11+E14+E8</f>
        <v>1125.3391491439436</v>
      </c>
    </row>
    <row r="3" spans="1:24">
      <c r="A3" s="274" t="s">
        <v>12</v>
      </c>
      <c r="B3" s="276" t="s">
        <v>79</v>
      </c>
      <c r="C3" s="276" t="s">
        <v>142</v>
      </c>
      <c r="D3" s="275"/>
      <c r="E3" s="277">
        <f>SUM(E4:E6)</f>
        <v>769.63977163803963</v>
      </c>
      <c r="F3" s="497">
        <f>E3+E3*1.41%</f>
        <v>780.49169241813604</v>
      </c>
      <c r="G3" s="497">
        <f>F3+F3*1.54%</f>
        <v>792.51126448137529</v>
      </c>
      <c r="H3" s="497">
        <f>G3+G3*1.47%</f>
        <v>804.16118006925149</v>
      </c>
      <c r="I3" s="497">
        <f>H3+H3*1.21%</f>
        <v>813.89153034808942</v>
      </c>
      <c r="J3" s="497">
        <f>I3+I3*1.34%</f>
        <v>824.79767685475383</v>
      </c>
      <c r="K3" s="497">
        <f>J3+J3*1.31%</f>
        <v>835.60252642155115</v>
      </c>
      <c r="L3" s="497">
        <f>K3+K3*1.35%</f>
        <v>846.88316052824212</v>
      </c>
      <c r="M3" s="497">
        <f>L3+L3*1.5%</f>
        <v>859.58640793616576</v>
      </c>
      <c r="N3" s="497">
        <f>M3+M3*1.04%</f>
        <v>868.52610657870184</v>
      </c>
      <c r="O3" s="497">
        <f>N3+N3*1.12%</f>
        <v>878.25359897238332</v>
      </c>
      <c r="P3" s="497">
        <f>O3+O3*1.15%</f>
        <v>888.35351536056578</v>
      </c>
      <c r="Q3" s="497">
        <f>P3+P3*1.05%</f>
        <v>897.68122727185175</v>
      </c>
      <c r="R3" s="497">
        <f>Q3+Q3*1.03%</f>
        <v>906.92734391275178</v>
      </c>
      <c r="S3" s="497">
        <f>R3+R3*1.02%</f>
        <v>916.17800282066185</v>
      </c>
      <c r="T3" s="497">
        <f>S3+S3*1.15%</f>
        <v>926.71404985309948</v>
      </c>
      <c r="U3" s="497">
        <f>T3+T3*1.18%</f>
        <v>937.6492756413661</v>
      </c>
      <c r="V3" s="497">
        <f>U3+U3*1.25%</f>
        <v>949.36989158688323</v>
      </c>
      <c r="W3" s="497">
        <f>V3+V3*1.15%</f>
        <v>960.28764534013237</v>
      </c>
      <c r="X3" s="497">
        <f>W3+W3*1.17%</f>
        <v>971.52301079061192</v>
      </c>
    </row>
    <row r="4" spans="1:24">
      <c r="A4" s="283" t="s">
        <v>145</v>
      </c>
      <c r="B4" s="865">
        <v>161200</v>
      </c>
      <c r="C4" s="865">
        <f>'Financial Model Prop. Fur. Add.'!CM69</f>
        <v>38499.365486230745</v>
      </c>
      <c r="D4" s="864"/>
      <c r="E4" s="278">
        <f>(B4*C4)/10^7</f>
        <v>620.60977163803955</v>
      </c>
      <c r="F4" s="261">
        <f>B4/350000</f>
        <v>0.46057142857142858</v>
      </c>
      <c r="L4" s="261"/>
    </row>
    <row r="5" spans="1:24">
      <c r="A5" s="283" t="s">
        <v>139</v>
      </c>
      <c r="B5" s="865">
        <v>206500</v>
      </c>
      <c r="C5" s="865">
        <v>5900</v>
      </c>
      <c r="D5" s="864"/>
      <c r="E5" s="278">
        <f>(B5*C5)/10^7</f>
        <v>121.83499999999999</v>
      </c>
      <c r="F5" s="261">
        <f>B5/350000</f>
        <v>0.59</v>
      </c>
      <c r="L5" s="261"/>
    </row>
    <row r="6" spans="1:24">
      <c r="A6" s="283" t="s">
        <v>140</v>
      </c>
      <c r="B6" s="865">
        <v>49000</v>
      </c>
      <c r="C6" s="865">
        <v>5550</v>
      </c>
      <c r="D6" s="864"/>
      <c r="E6" s="278">
        <f>(B6*C6)/10^7</f>
        <v>27.195</v>
      </c>
      <c r="F6" s="261">
        <f t="shared" ref="F6" si="0">B6/350000</f>
        <v>0.14000000000000001</v>
      </c>
      <c r="L6" s="261"/>
    </row>
    <row r="7" spans="1:24">
      <c r="A7" s="283" t="s">
        <v>105</v>
      </c>
      <c r="B7" s="865">
        <v>0</v>
      </c>
      <c r="C7" s="877">
        <v>0</v>
      </c>
      <c r="D7" s="876"/>
      <c r="E7" s="284">
        <v>0</v>
      </c>
      <c r="F7" s="261"/>
      <c r="L7" s="261"/>
    </row>
    <row r="8" spans="1:24">
      <c r="A8" s="862" t="s">
        <v>14</v>
      </c>
      <c r="B8" s="593"/>
      <c r="C8" s="593"/>
      <c r="D8" s="593"/>
      <c r="E8" s="33">
        <v>102.5</v>
      </c>
      <c r="F8" s="497">
        <f>E8+E8*1.55%</f>
        <v>104.08875</v>
      </c>
      <c r="G8" s="497">
        <f>F8+F8*1.57%</f>
        <v>105.722943375</v>
      </c>
      <c r="H8" s="497">
        <f>G8+G8*1.43%</f>
        <v>107.2347814652625</v>
      </c>
      <c r="I8" s="497">
        <f>H8+H8*1.4%</f>
        <v>108.73606840577618</v>
      </c>
      <c r="J8" s="497">
        <f t="shared" ref="J8:X8" si="1">I8+I8*1.34%</f>
        <v>110.19313172241358</v>
      </c>
      <c r="K8" s="497">
        <f t="shared" si="1"/>
        <v>111.66971968749392</v>
      </c>
      <c r="L8" s="497">
        <f t="shared" si="1"/>
        <v>113.16609393130634</v>
      </c>
      <c r="M8" s="497">
        <f t="shared" si="1"/>
        <v>114.68251958998584</v>
      </c>
      <c r="N8" s="497">
        <f t="shared" si="1"/>
        <v>116.21926535249166</v>
      </c>
      <c r="O8" s="497">
        <f t="shared" si="1"/>
        <v>117.77660350821505</v>
      </c>
      <c r="P8" s="497">
        <f t="shared" si="1"/>
        <v>119.35480999522512</v>
      </c>
      <c r="Q8" s="497">
        <f t="shared" si="1"/>
        <v>120.95416444916114</v>
      </c>
      <c r="R8" s="497">
        <f t="shared" si="1"/>
        <v>122.5749502527799</v>
      </c>
      <c r="S8" s="497">
        <f t="shared" si="1"/>
        <v>124.21745458616715</v>
      </c>
      <c r="T8" s="497">
        <f t="shared" si="1"/>
        <v>125.8819684776218</v>
      </c>
      <c r="U8" s="497">
        <f t="shared" si="1"/>
        <v>127.56878685522193</v>
      </c>
      <c r="V8" s="497">
        <f t="shared" si="1"/>
        <v>129.27820859908189</v>
      </c>
      <c r="W8" s="497">
        <f t="shared" si="1"/>
        <v>131.0105365943096</v>
      </c>
      <c r="X8" s="497">
        <f t="shared" si="1"/>
        <v>132.76607778467334</v>
      </c>
    </row>
    <row r="9" spans="1:24">
      <c r="A9" s="267" t="s">
        <v>15</v>
      </c>
      <c r="B9" s="590"/>
      <c r="C9" s="590"/>
      <c r="D9" s="590"/>
      <c r="E9" s="268">
        <f>E10</f>
        <v>26.91</v>
      </c>
      <c r="F9" s="261"/>
      <c r="L9" s="261"/>
    </row>
    <row r="10" spans="1:24" ht="16.5" customHeight="1">
      <c r="A10" s="862" t="s">
        <v>16</v>
      </c>
      <c r="B10" s="593"/>
      <c r="C10" s="593"/>
      <c r="D10" s="593" t="s">
        <v>13</v>
      </c>
      <c r="E10" s="33">
        <f>'Salaries &amp; Wages Calculations'!D8</f>
        <v>26.91</v>
      </c>
    </row>
    <row r="11" spans="1:24">
      <c r="A11" s="267" t="s">
        <v>17</v>
      </c>
      <c r="B11" s="590"/>
      <c r="C11" s="590"/>
      <c r="D11" s="590"/>
      <c r="E11" s="268">
        <f>E13+E12</f>
        <v>157.19999999999999</v>
      </c>
      <c r="F11" s="260"/>
      <c r="L11" s="261"/>
    </row>
    <row r="12" spans="1:24" ht="16.5" customHeight="1">
      <c r="A12" s="862" t="s">
        <v>18</v>
      </c>
      <c r="B12" s="593"/>
      <c r="C12" s="593"/>
      <c r="D12" s="593"/>
      <c r="E12" s="33">
        <v>39.200000000000003</v>
      </c>
      <c r="F12" s="260"/>
    </row>
    <row r="13" spans="1:24">
      <c r="A13" s="862" t="s">
        <v>19</v>
      </c>
      <c r="B13" s="593"/>
      <c r="C13" s="593"/>
      <c r="D13" s="593"/>
      <c r="E13" s="33">
        <v>118</v>
      </c>
    </row>
    <row r="14" spans="1:24">
      <c r="A14" s="267" t="s">
        <v>20</v>
      </c>
      <c r="B14" s="590"/>
      <c r="C14" s="590"/>
      <c r="D14" s="590"/>
      <c r="E14" s="268">
        <f>E15+E16</f>
        <v>69.089377505903997</v>
      </c>
      <c r="L14" s="261"/>
    </row>
    <row r="15" spans="1:24" ht="25.5" customHeight="1">
      <c r="A15" s="862" t="s">
        <v>347</v>
      </c>
      <c r="B15" s="593"/>
      <c r="C15" s="593"/>
      <c r="D15" s="3">
        <v>1.4999999999999999E-2</v>
      </c>
      <c r="E15" s="165">
        <f>D15*Capex!D21</f>
        <v>62.391746517119991</v>
      </c>
    </row>
    <row r="16" spans="1:24" ht="27.75" customHeight="1">
      <c r="A16" s="861" t="s">
        <v>503</v>
      </c>
      <c r="B16" s="860"/>
      <c r="C16" s="860"/>
      <c r="D16" s="258">
        <v>7.4999999999999997E-2</v>
      </c>
      <c r="E16" s="271">
        <f>D16*(E15+E10)</f>
        <v>6.6976309887839998</v>
      </c>
    </row>
    <row r="17" spans="1:38">
      <c r="A17" s="267" t="s">
        <v>21</v>
      </c>
      <c r="B17" s="590"/>
      <c r="C17" s="590"/>
      <c r="D17" s="43"/>
      <c r="E17" s="268">
        <f>E19+E18</f>
        <v>77.789892050550776</v>
      </c>
      <c r="L17" s="260"/>
    </row>
    <row r="18" spans="1:38" ht="26.25" customHeight="1">
      <c r="A18" s="862" t="s">
        <v>437</v>
      </c>
      <c r="B18" s="593"/>
      <c r="C18" s="593"/>
      <c r="D18" s="3">
        <v>2.5000000000000001E-2</v>
      </c>
      <c r="E18" s="33">
        <f>Sales!E5*D18</f>
        <v>65.405820520833331</v>
      </c>
      <c r="AL18" s="260"/>
    </row>
    <row r="19" spans="1:38" ht="17.25" customHeight="1">
      <c r="A19" s="862" t="s">
        <v>386</v>
      </c>
      <c r="B19" s="593"/>
      <c r="C19" s="593"/>
      <c r="D19" s="3">
        <v>1.4999999999999999E-2</v>
      </c>
      <c r="E19" s="33">
        <v>12.384071529717438</v>
      </c>
    </row>
    <row r="20" spans="1:38" ht="17.25" customHeight="1">
      <c r="A20" s="875" t="s">
        <v>30</v>
      </c>
      <c r="B20" s="875"/>
      <c r="C20" s="875"/>
      <c r="D20" s="875"/>
      <c r="E20" s="544">
        <f>E17+E2</f>
        <v>1203.1290411944944</v>
      </c>
    </row>
    <row r="21" spans="1:38" ht="18.75" customHeight="1">
      <c r="E21" s="260"/>
    </row>
    <row r="22" spans="1:38" ht="25.5">
      <c r="A22" s="872" t="str">
        <f>Capex!E1</f>
        <v>Capacity for 500 KTPA PVC Plant (350 KTPA from captive Ethylene and 150 KTPA EDC / VCM Outsourced)</v>
      </c>
      <c r="B22" s="872"/>
      <c r="C22" s="872"/>
      <c r="D22" s="872"/>
      <c r="E22" s="269" t="s">
        <v>118</v>
      </c>
      <c r="F22" s="496">
        <v>2028</v>
      </c>
      <c r="G22" s="496">
        <v>2029</v>
      </c>
      <c r="H22" s="496">
        <v>2030</v>
      </c>
      <c r="I22" s="496">
        <v>2031</v>
      </c>
      <c r="J22" s="496">
        <v>2032</v>
      </c>
      <c r="K22" s="496">
        <v>2033</v>
      </c>
      <c r="L22" s="496">
        <v>2034</v>
      </c>
      <c r="M22" s="496">
        <v>2035</v>
      </c>
      <c r="N22" s="496">
        <v>2036</v>
      </c>
      <c r="O22" s="496">
        <v>2037</v>
      </c>
      <c r="P22" s="496">
        <v>2038</v>
      </c>
      <c r="Q22" s="496">
        <v>2039</v>
      </c>
      <c r="R22" s="496">
        <v>2040</v>
      </c>
      <c r="S22" s="496">
        <v>2041</v>
      </c>
      <c r="T22" s="496">
        <v>2042</v>
      </c>
      <c r="U22" s="496">
        <v>2043</v>
      </c>
      <c r="V22" s="496">
        <v>2044</v>
      </c>
      <c r="W22" s="496">
        <v>2045</v>
      </c>
      <c r="X22" s="496">
        <v>2046</v>
      </c>
    </row>
    <row r="23" spans="1:38">
      <c r="A23" s="279" t="s">
        <v>11</v>
      </c>
      <c r="B23" s="37" t="s">
        <v>76</v>
      </c>
      <c r="C23" s="37" t="s">
        <v>77</v>
      </c>
      <c r="D23" s="272"/>
      <c r="E23" s="280">
        <f>E24+E30+E32+E35</f>
        <v>1764.1926658519435</v>
      </c>
    </row>
    <row r="24" spans="1:38">
      <c r="A24" s="281" t="s">
        <v>12</v>
      </c>
      <c r="B24" s="276" t="s">
        <v>79</v>
      </c>
      <c r="C24" s="276" t="s">
        <v>142</v>
      </c>
      <c r="D24" s="285" t="s">
        <v>394</v>
      </c>
      <c r="E24" s="277">
        <f>SUM(E25:E28)+E29</f>
        <v>1437.0497816380396</v>
      </c>
      <c r="F24" s="497">
        <f>E24+E24*1.26%</f>
        <v>1455.1566088866789</v>
      </c>
      <c r="G24" s="497">
        <f>F24+F24*1.24%</f>
        <v>1473.2005508368736</v>
      </c>
      <c r="H24" s="497">
        <f>G24+G24*1.27%</f>
        <v>1491.9101978325018</v>
      </c>
      <c r="I24" s="497">
        <f>H24+H24*1.31%</f>
        <v>1511.4542214241076</v>
      </c>
      <c r="J24" s="497">
        <f>I24+I24*1.44%</f>
        <v>1533.2191622126147</v>
      </c>
      <c r="K24" s="497">
        <f>J24+J24*1.1%</f>
        <v>1550.0845729969535</v>
      </c>
      <c r="L24" s="497">
        <f>K24+K24*1.15%</f>
        <v>1567.9105455864185</v>
      </c>
      <c r="M24" s="497">
        <f>L24+L24*1.15%</f>
        <v>1585.9415168606622</v>
      </c>
      <c r="N24" s="497">
        <f>M24+M24*1.14%</f>
        <v>1604.0212501528738</v>
      </c>
      <c r="O24" s="497">
        <f>N24+N24*1.32%</f>
        <v>1625.1943306548917</v>
      </c>
      <c r="P24" s="497">
        <f>O24+O24*1.37%</f>
        <v>1647.4594929848638</v>
      </c>
      <c r="Q24" s="497">
        <f>P24+P24*1.41%</f>
        <v>1670.6886718359503</v>
      </c>
      <c r="R24" s="497">
        <f>Q24+Q24*1.42%</f>
        <v>1694.4124509760209</v>
      </c>
      <c r="S24" s="497">
        <f>R24+R24*1.15%</f>
        <v>1713.8981941622451</v>
      </c>
      <c r="T24" s="497">
        <f>S24+S24*1.14%</f>
        <v>1733.4366335756947</v>
      </c>
      <c r="U24" s="497">
        <f>T24+T24*1.15%</f>
        <v>1753.3711548618153</v>
      </c>
      <c r="V24" s="497">
        <f>U24+U24*1.22%</f>
        <v>1774.7622829511295</v>
      </c>
      <c r="W24" s="497">
        <f>V24+V24*1.31%</f>
        <v>1798.0116688577893</v>
      </c>
      <c r="X24" s="497">
        <f>W24+W24*1.23%</f>
        <v>1820.1272123847402</v>
      </c>
    </row>
    <row r="25" spans="1:38">
      <c r="A25" s="871" t="s">
        <v>145</v>
      </c>
      <c r="B25" s="870">
        <f>B4</f>
        <v>161200</v>
      </c>
      <c r="C25" s="869">
        <f>'Financial Model Prop. Fur. Add.'!CM69</f>
        <v>38499.365486230745</v>
      </c>
      <c r="D25" s="868"/>
      <c r="E25" s="270">
        <f>(B25*C25)/10^7</f>
        <v>620.60977163803955</v>
      </c>
    </row>
    <row r="26" spans="1:38">
      <c r="A26" s="871" t="s">
        <v>139</v>
      </c>
      <c r="B26" s="870">
        <f>B5</f>
        <v>206500</v>
      </c>
      <c r="C26" s="869">
        <v>5900</v>
      </c>
      <c r="D26" s="868"/>
      <c r="E26" s="270">
        <f>(B26*C26)/10^7</f>
        <v>121.83499999999999</v>
      </c>
    </row>
    <row r="27" spans="1:38">
      <c r="A27" s="871" t="s">
        <v>105</v>
      </c>
      <c r="B27" s="874">
        <v>200000</v>
      </c>
      <c r="C27" s="869">
        <f>'Annual COP'!P10</f>
        <v>27800</v>
      </c>
      <c r="D27" s="868"/>
      <c r="E27" s="270">
        <f>(B27*C27)/10^7</f>
        <v>556</v>
      </c>
    </row>
    <row r="28" spans="1:38">
      <c r="A28" s="871" t="s">
        <v>140</v>
      </c>
      <c r="B28" s="870">
        <f>B6</f>
        <v>49000</v>
      </c>
      <c r="C28" s="869">
        <f>'Annual COP'!P11</f>
        <v>5550</v>
      </c>
      <c r="D28" s="868"/>
      <c r="E28" s="270">
        <f>(B28*C28)/10^7</f>
        <v>27.195</v>
      </c>
    </row>
    <row r="29" spans="1:38">
      <c r="A29" s="861" t="s">
        <v>14</v>
      </c>
      <c r="B29" s="860"/>
      <c r="C29" s="860"/>
      <c r="D29" s="860"/>
      <c r="E29" s="271">
        <v>111.41001000000001</v>
      </c>
      <c r="F29" s="497">
        <f>E29+E29*1.34%</f>
        <v>112.90290413400001</v>
      </c>
      <c r="G29" s="497">
        <f>F29+F29*1.24%</f>
        <v>114.30290014526162</v>
      </c>
      <c r="H29" s="497">
        <f>G29+G29*1.27%</f>
        <v>115.75454697710644</v>
      </c>
      <c r="I29" s="497">
        <f>H29+H29*1.21%</f>
        <v>117.15517699552943</v>
      </c>
      <c r="J29" s="497">
        <f>I29+I29*1.14%</f>
        <v>118.49074601327847</v>
      </c>
      <c r="K29" s="497">
        <f t="shared" ref="K29:X29" si="2">J29+J29*1.05%</f>
        <v>119.73489884641789</v>
      </c>
      <c r="L29" s="497">
        <f t="shared" si="2"/>
        <v>120.99211528430529</v>
      </c>
      <c r="M29" s="497">
        <f t="shared" si="2"/>
        <v>122.26253249479049</v>
      </c>
      <c r="N29" s="497">
        <f t="shared" si="2"/>
        <v>123.54628908598579</v>
      </c>
      <c r="O29" s="497">
        <f t="shared" si="2"/>
        <v>124.84352512138864</v>
      </c>
      <c r="P29" s="497">
        <f t="shared" si="2"/>
        <v>126.15438213516322</v>
      </c>
      <c r="Q29" s="497">
        <f t="shared" si="2"/>
        <v>127.47900314758243</v>
      </c>
      <c r="R29" s="497">
        <f t="shared" si="2"/>
        <v>128.81753268063204</v>
      </c>
      <c r="S29" s="497">
        <f t="shared" si="2"/>
        <v>130.17011677377869</v>
      </c>
      <c r="T29" s="497">
        <f t="shared" si="2"/>
        <v>131.53690299990336</v>
      </c>
      <c r="U29" s="497">
        <f t="shared" si="2"/>
        <v>132.91804048140236</v>
      </c>
      <c r="V29" s="497">
        <f t="shared" si="2"/>
        <v>134.31367990645708</v>
      </c>
      <c r="W29" s="497">
        <f t="shared" si="2"/>
        <v>135.72397354547488</v>
      </c>
      <c r="X29" s="497">
        <f t="shared" si="2"/>
        <v>137.14907526770236</v>
      </c>
    </row>
    <row r="30" spans="1:38">
      <c r="A30" s="493" t="s">
        <v>15</v>
      </c>
      <c r="B30" s="868"/>
      <c r="C30" s="868"/>
      <c r="D30" s="868"/>
      <c r="E30" s="270">
        <f>E31</f>
        <v>30.68</v>
      </c>
    </row>
    <row r="31" spans="1:38">
      <c r="A31" s="861" t="s">
        <v>16</v>
      </c>
      <c r="B31" s="860"/>
      <c r="C31" s="860"/>
      <c r="D31" s="860" t="s">
        <v>13</v>
      </c>
      <c r="E31" s="271">
        <f>'Salaries &amp; Wages Calculations'!I8</f>
        <v>30.68</v>
      </c>
    </row>
    <row r="32" spans="1:38">
      <c r="A32" s="493" t="s">
        <v>17</v>
      </c>
      <c r="B32" s="868"/>
      <c r="C32" s="868"/>
      <c r="D32" s="868"/>
      <c r="E32" s="270">
        <f>E34+E33</f>
        <v>196.55</v>
      </c>
      <c r="F32" s="260"/>
    </row>
    <row r="33" spans="1:30">
      <c r="A33" s="861" t="s">
        <v>18</v>
      </c>
      <c r="B33" s="860"/>
      <c r="C33" s="860"/>
      <c r="D33" s="860"/>
      <c r="E33" s="271">
        <v>51.55</v>
      </c>
      <c r="F33" s="260"/>
    </row>
    <row r="34" spans="1:30">
      <c r="A34" s="861" t="s">
        <v>19</v>
      </c>
      <c r="B34" s="860"/>
      <c r="C34" s="860"/>
      <c r="D34" s="860"/>
      <c r="E34" s="271">
        <v>145</v>
      </c>
    </row>
    <row r="35" spans="1:30">
      <c r="A35" s="493" t="s">
        <v>20</v>
      </c>
      <c r="B35" s="868"/>
      <c r="C35" s="868"/>
      <c r="D35" s="868"/>
      <c r="E35" s="270">
        <f>E36+E37</f>
        <v>99.912884213903979</v>
      </c>
    </row>
    <row r="36" spans="1:30" ht="16.5" customHeight="1">
      <c r="A36" s="861" t="s">
        <v>347</v>
      </c>
      <c r="B36" s="860"/>
      <c r="C36" s="860"/>
      <c r="D36" s="258">
        <v>1.4999999999999999E-2</v>
      </c>
      <c r="E36" s="271">
        <f>Capex!H21*0.015</f>
        <v>90.801752757119985</v>
      </c>
    </row>
    <row r="37" spans="1:30">
      <c r="A37" s="861" t="s">
        <v>504</v>
      </c>
      <c r="B37" s="860"/>
      <c r="C37" s="860"/>
      <c r="D37" s="258">
        <v>7.4999999999999997E-2</v>
      </c>
      <c r="E37" s="271">
        <f>D37*(E36+E31)</f>
        <v>9.1111314567839976</v>
      </c>
    </row>
    <row r="38" spans="1:30">
      <c r="A38" s="493" t="s">
        <v>21</v>
      </c>
      <c r="B38" s="868"/>
      <c r="C38" s="868"/>
      <c r="D38" s="259"/>
      <c r="E38" s="270">
        <f>E40+E39</f>
        <v>119.89977644611248</v>
      </c>
    </row>
    <row r="39" spans="1:30">
      <c r="A39" s="861" t="s">
        <v>438</v>
      </c>
      <c r="B39" s="860"/>
      <c r="C39" s="860"/>
      <c r="D39" s="258">
        <v>2.5000000000000001E-2</v>
      </c>
      <c r="E39" s="271">
        <f>Sales!E9*D39</f>
        <v>93.436886458333333</v>
      </c>
    </row>
    <row r="40" spans="1:30">
      <c r="A40" s="861" t="s">
        <v>393</v>
      </c>
      <c r="B40" s="860"/>
      <c r="C40" s="860"/>
      <c r="D40" s="258">
        <v>1.4999999999999999E-2</v>
      </c>
      <c r="E40" s="271">
        <f>E23*D40</f>
        <v>26.462889987779153</v>
      </c>
    </row>
    <row r="41" spans="1:30">
      <c r="A41" s="858" t="s">
        <v>30</v>
      </c>
      <c r="B41" s="858"/>
      <c r="C41" s="858"/>
      <c r="D41" s="858" t="s">
        <v>23</v>
      </c>
      <c r="E41" s="857">
        <f>E38+E23</f>
        <v>1884.0924422980561</v>
      </c>
    </row>
    <row r="43" spans="1:30">
      <c r="A43" s="873" t="str">
        <f>Capex!I1</f>
        <v>Capacity for 500 KTPA PVC Resin (EDC / VCM to PVC Plant (EDC / VCM Outsourced)</v>
      </c>
      <c r="B43" s="872"/>
      <c r="C43" s="872"/>
      <c r="D43" s="872"/>
      <c r="E43" s="269" t="s">
        <v>118</v>
      </c>
    </row>
    <row r="44" spans="1:30">
      <c r="A44" s="279" t="s">
        <v>11</v>
      </c>
      <c r="B44" s="37" t="s">
        <v>76</v>
      </c>
      <c r="C44" s="37" t="s">
        <v>77</v>
      </c>
      <c r="D44" s="272"/>
      <c r="E44" s="280">
        <f>E45+E49+E51+E54</f>
        <v>2770.2559474999998</v>
      </c>
    </row>
    <row r="45" spans="1:30">
      <c r="A45" s="281" t="s">
        <v>12</v>
      </c>
      <c r="B45" s="276" t="s">
        <v>79</v>
      </c>
      <c r="C45" s="276" t="s">
        <v>142</v>
      </c>
      <c r="D45" s="285" t="s">
        <v>394</v>
      </c>
      <c r="E45" s="277">
        <f t="shared" ref="E45:AD45" si="3">SUM(E46:E47)+E48</f>
        <v>2528.82501</v>
      </c>
      <c r="F45" s="277">
        <f t="shared" si="3"/>
        <v>2561.6892051260002</v>
      </c>
      <c r="G45" s="277">
        <f t="shared" si="3"/>
        <v>2592.9528765105874</v>
      </c>
      <c r="H45" s="277">
        <f t="shared" si="3"/>
        <v>2625.6240827546212</v>
      </c>
      <c r="I45" s="277">
        <f t="shared" si="3"/>
        <v>2658.7069461973292</v>
      </c>
      <c r="J45" s="277">
        <f t="shared" si="3"/>
        <v>2692.2066537194155</v>
      </c>
      <c r="K45" s="277">
        <f t="shared" si="3"/>
        <v>2726.12845755628</v>
      </c>
      <c r="L45" s="277">
        <f t="shared" si="3"/>
        <v>2760.4776761214889</v>
      </c>
      <c r="M45" s="277">
        <f t="shared" si="3"/>
        <v>2795.2596948406199</v>
      </c>
      <c r="N45" s="277">
        <f t="shared" si="3"/>
        <v>2830.4799669956114</v>
      </c>
      <c r="O45" s="277">
        <f t="shared" si="3"/>
        <v>2866.144014579756</v>
      </c>
      <c r="P45" s="277">
        <f t="shared" si="3"/>
        <v>2902.257429163461</v>
      </c>
      <c r="Q45" s="277">
        <f t="shared" si="3"/>
        <v>2938.8258727709208</v>
      </c>
      <c r="R45" s="277">
        <f t="shared" si="3"/>
        <v>2975.8550787678346</v>
      </c>
      <c r="S45" s="277">
        <f t="shared" si="3"/>
        <v>3013.350852760309</v>
      </c>
      <c r="T45" s="277">
        <f t="shared" si="3"/>
        <v>3051.3190735050889</v>
      </c>
      <c r="U45" s="277">
        <f t="shared" si="3"/>
        <v>3089.765693831253</v>
      </c>
      <c r="V45" s="277">
        <f t="shared" si="3"/>
        <v>3128.6967415735267</v>
      </c>
      <c r="W45" s="277">
        <f t="shared" si="3"/>
        <v>3168.1183205173534</v>
      </c>
      <c r="X45" s="277">
        <f t="shared" si="3"/>
        <v>3208.0366113558721</v>
      </c>
      <c r="Y45" s="277">
        <f t="shared" si="3"/>
        <v>3248.4578726589561</v>
      </c>
      <c r="Z45" s="277">
        <f t="shared" si="3"/>
        <v>3289.388441854459</v>
      </c>
      <c r="AA45" s="277">
        <f t="shared" si="3"/>
        <v>3330.8347362218251</v>
      </c>
      <c r="AB45" s="277">
        <f t="shared" si="3"/>
        <v>3372.8032538982197</v>
      </c>
      <c r="AC45" s="277">
        <f t="shared" si="3"/>
        <v>3415.3005748973374</v>
      </c>
      <c r="AD45" s="277">
        <f t="shared" si="3"/>
        <v>3458.3333621410438</v>
      </c>
    </row>
    <row r="46" spans="1:30">
      <c r="A46" s="871" t="s">
        <v>105</v>
      </c>
      <c r="B46" s="870">
        <v>0</v>
      </c>
      <c r="C46" s="869">
        <f>'Financial Model Prop. Fur. Add.'!CM79</f>
        <v>0</v>
      </c>
      <c r="D46" s="868"/>
      <c r="E46" s="270">
        <f>(B46*C46)/10^7</f>
        <v>0</v>
      </c>
      <c r="F46">
        <f>B47/500000</f>
        <v>1.0009999999999999</v>
      </c>
    </row>
    <row r="47" spans="1:30">
      <c r="A47" s="871" t="s">
        <v>488</v>
      </c>
      <c r="B47" s="870">
        <f>500*1001</f>
        <v>500500</v>
      </c>
      <c r="C47" s="869">
        <v>48300</v>
      </c>
      <c r="D47" s="868"/>
      <c r="E47" s="270">
        <f>(B47*C47)/10^7</f>
        <v>2417.415</v>
      </c>
      <c r="F47" s="497">
        <f t="shared" ref="F47:AD47" si="4">E47+E47*1.26%</f>
        <v>2447.874429</v>
      </c>
      <c r="G47" s="497">
        <f t="shared" si="4"/>
        <v>2478.7176468053999</v>
      </c>
      <c r="H47" s="497">
        <f t="shared" si="4"/>
        <v>2509.9494891551481</v>
      </c>
      <c r="I47" s="497">
        <f t="shared" si="4"/>
        <v>2541.5748527185028</v>
      </c>
      <c r="J47" s="497">
        <f t="shared" si="4"/>
        <v>2573.5986958627559</v>
      </c>
      <c r="K47" s="497">
        <f t="shared" si="4"/>
        <v>2606.0260394306265</v>
      </c>
      <c r="L47" s="497">
        <f t="shared" si="4"/>
        <v>2638.8619675274522</v>
      </c>
      <c r="M47" s="497">
        <f t="shared" si="4"/>
        <v>2672.1116283182982</v>
      </c>
      <c r="N47" s="497">
        <f t="shared" si="4"/>
        <v>2705.7802348351088</v>
      </c>
      <c r="O47" s="497">
        <f t="shared" si="4"/>
        <v>2739.8730657940309</v>
      </c>
      <c r="P47" s="497">
        <f t="shared" si="4"/>
        <v>2774.3954664230359</v>
      </c>
      <c r="Q47" s="497">
        <f t="shared" si="4"/>
        <v>2809.3528492999662</v>
      </c>
      <c r="R47" s="497">
        <f t="shared" si="4"/>
        <v>2844.7506952011458</v>
      </c>
      <c r="S47" s="497">
        <f t="shared" si="4"/>
        <v>2880.5945539606801</v>
      </c>
      <c r="T47" s="497">
        <f t="shared" si="4"/>
        <v>2916.8900453405845</v>
      </c>
      <c r="U47" s="497">
        <f t="shared" si="4"/>
        <v>2953.6428599118758</v>
      </c>
      <c r="V47" s="497">
        <f t="shared" si="4"/>
        <v>2990.8587599467655</v>
      </c>
      <c r="W47" s="497">
        <f t="shared" si="4"/>
        <v>3028.5435803220948</v>
      </c>
      <c r="X47" s="497">
        <f t="shared" si="4"/>
        <v>3066.7032294341534</v>
      </c>
      <c r="Y47" s="497">
        <f t="shared" si="4"/>
        <v>3105.3436901250238</v>
      </c>
      <c r="Z47" s="497">
        <f t="shared" si="4"/>
        <v>3144.4710206205991</v>
      </c>
      <c r="AA47" s="497">
        <f t="shared" si="4"/>
        <v>3184.0913554804188</v>
      </c>
      <c r="AB47" s="497">
        <f t="shared" si="4"/>
        <v>3224.2109065594718</v>
      </c>
      <c r="AC47" s="497">
        <f t="shared" si="4"/>
        <v>3264.835963982121</v>
      </c>
      <c r="AD47" s="497">
        <f t="shared" si="4"/>
        <v>3305.9728971282957</v>
      </c>
    </row>
    <row r="48" spans="1:30">
      <c r="A48" s="861" t="s">
        <v>14</v>
      </c>
      <c r="B48" s="860"/>
      <c r="C48" s="860"/>
      <c r="D48" s="860"/>
      <c r="E48" s="271">
        <v>111.41001000000001</v>
      </c>
      <c r="F48" s="497">
        <f t="shared" ref="F48:AD48" si="5">E48+E48*1.26%</f>
        <v>112.81377612600001</v>
      </c>
      <c r="G48" s="497">
        <f t="shared" si="5"/>
        <v>114.23522970518761</v>
      </c>
      <c r="H48" s="497">
        <f t="shared" si="5"/>
        <v>115.67459359947297</v>
      </c>
      <c r="I48" s="497">
        <f t="shared" si="5"/>
        <v>117.13209347882633</v>
      </c>
      <c r="J48" s="497">
        <f t="shared" si="5"/>
        <v>118.60795785665955</v>
      </c>
      <c r="K48" s="497">
        <f t="shared" si="5"/>
        <v>120.10241812565346</v>
      </c>
      <c r="L48" s="497">
        <f t="shared" si="5"/>
        <v>121.61570859403669</v>
      </c>
      <c r="M48" s="497">
        <f t="shared" si="5"/>
        <v>123.14806652232156</v>
      </c>
      <c r="N48" s="497">
        <f t="shared" si="5"/>
        <v>124.6997321605028</v>
      </c>
      <c r="O48" s="497">
        <f t="shared" si="5"/>
        <v>126.27094878572514</v>
      </c>
      <c r="P48" s="497">
        <f t="shared" si="5"/>
        <v>127.86196274042527</v>
      </c>
      <c r="Q48" s="497">
        <f t="shared" si="5"/>
        <v>129.47302347095462</v>
      </c>
      <c r="R48" s="497">
        <f t="shared" si="5"/>
        <v>131.10438356668865</v>
      </c>
      <c r="S48" s="497">
        <f t="shared" si="5"/>
        <v>132.75629879962892</v>
      </c>
      <c r="T48" s="497">
        <f t="shared" si="5"/>
        <v>134.42902816450425</v>
      </c>
      <c r="U48" s="497">
        <f t="shared" si="5"/>
        <v>136.122833919377</v>
      </c>
      <c r="V48" s="497">
        <f t="shared" si="5"/>
        <v>137.83798162676115</v>
      </c>
      <c r="W48" s="497">
        <f t="shared" si="5"/>
        <v>139.57474019525833</v>
      </c>
      <c r="X48" s="497">
        <f t="shared" si="5"/>
        <v>141.3333819217186</v>
      </c>
      <c r="Y48" s="497">
        <f t="shared" si="5"/>
        <v>143.11418253393225</v>
      </c>
      <c r="Z48" s="497">
        <f t="shared" si="5"/>
        <v>144.91742123385978</v>
      </c>
      <c r="AA48" s="497">
        <f t="shared" si="5"/>
        <v>146.74338074140641</v>
      </c>
      <c r="AB48" s="497">
        <f t="shared" si="5"/>
        <v>148.59234733874814</v>
      </c>
      <c r="AC48" s="497">
        <f t="shared" si="5"/>
        <v>150.46461091521635</v>
      </c>
      <c r="AD48" s="497">
        <f t="shared" si="5"/>
        <v>152.36046501274808</v>
      </c>
    </row>
    <row r="49" spans="1:24">
      <c r="A49" s="493" t="s">
        <v>15</v>
      </c>
      <c r="B49" s="868"/>
      <c r="C49" s="868"/>
      <c r="D49" s="868"/>
      <c r="E49" s="270">
        <f>E50</f>
        <v>24.5</v>
      </c>
    </row>
    <row r="50" spans="1:24">
      <c r="A50" s="861" t="s">
        <v>16</v>
      </c>
      <c r="B50" s="860"/>
      <c r="C50" s="860"/>
      <c r="D50" s="860" t="s">
        <v>13</v>
      </c>
      <c r="E50" s="271">
        <v>24.5</v>
      </c>
    </row>
    <row r="51" spans="1:24">
      <c r="A51" s="493" t="s">
        <v>17</v>
      </c>
      <c r="B51" s="868"/>
      <c r="C51" s="868"/>
      <c r="D51" s="868"/>
      <c r="E51" s="270">
        <f>E53+E52</f>
        <v>143.69999999999999</v>
      </c>
      <c r="F51" s="260"/>
    </row>
    <row r="52" spans="1:24">
      <c r="A52" s="861" t="s">
        <v>18</v>
      </c>
      <c r="B52" s="860"/>
      <c r="C52" s="860"/>
      <c r="D52" s="860"/>
      <c r="E52" s="271">
        <v>48.3</v>
      </c>
      <c r="F52" s="260"/>
    </row>
    <row r="53" spans="1:24">
      <c r="A53" s="861" t="s">
        <v>19</v>
      </c>
      <c r="B53" s="860"/>
      <c r="C53" s="860"/>
      <c r="D53" s="860"/>
      <c r="E53" s="271">
        <v>95.4</v>
      </c>
    </row>
    <row r="54" spans="1:24">
      <c r="A54" s="493" t="s">
        <v>20</v>
      </c>
      <c r="B54" s="868"/>
      <c r="C54" s="868"/>
      <c r="D54" s="868"/>
      <c r="E54" s="270">
        <f>E55+E56</f>
        <v>73.230937499999996</v>
      </c>
    </row>
    <row r="55" spans="1:24">
      <c r="A55" s="861" t="s">
        <v>347</v>
      </c>
      <c r="B55" s="860"/>
      <c r="C55" s="860"/>
      <c r="D55" s="258">
        <v>1.4999999999999999E-2</v>
      </c>
      <c r="E55" s="271">
        <f>Capex!L21*0.015</f>
        <v>66.412499999999994</v>
      </c>
    </row>
    <row r="56" spans="1:24">
      <c r="A56" s="861" t="s">
        <v>505</v>
      </c>
      <c r="B56" s="860"/>
      <c r="C56" s="860"/>
      <c r="D56" s="258">
        <v>7.4999999999999997E-2</v>
      </c>
      <c r="E56" s="271">
        <f>D56*(E55+E50)</f>
        <v>6.818437499999999</v>
      </c>
    </row>
    <row r="57" spans="1:24">
      <c r="A57" s="493" t="s">
        <v>21</v>
      </c>
      <c r="B57" s="868"/>
      <c r="C57" s="868"/>
      <c r="D57" s="259"/>
      <c r="E57" s="270">
        <f>E59+E58</f>
        <v>106.95965973333332</v>
      </c>
    </row>
    <row r="58" spans="1:24">
      <c r="A58" s="861" t="s">
        <v>438</v>
      </c>
      <c r="B58" s="860"/>
      <c r="C58" s="860"/>
      <c r="D58" s="258">
        <v>2.5000000000000001E-2</v>
      </c>
      <c r="E58" s="271">
        <f>Sales!E5*D58</f>
        <v>65.405820520833331</v>
      </c>
    </row>
    <row r="59" spans="1:24">
      <c r="A59" s="861" t="s">
        <v>393</v>
      </c>
      <c r="B59" s="860"/>
      <c r="C59" s="860"/>
      <c r="D59" s="258">
        <v>1.4999999999999999E-2</v>
      </c>
      <c r="E59" s="271">
        <f>E44*D59</f>
        <v>41.553839212499994</v>
      </c>
    </row>
    <row r="60" spans="1:24">
      <c r="A60" s="858" t="s">
        <v>30</v>
      </c>
      <c r="B60" s="858"/>
      <c r="C60" s="858"/>
      <c r="D60" s="858"/>
      <c r="E60" s="857">
        <f>E57+E44</f>
        <v>2877.2156072333332</v>
      </c>
    </row>
    <row r="62" spans="1:24">
      <c r="A62" s="878" t="s">
        <v>657</v>
      </c>
      <c r="B62" s="879"/>
      <c r="C62" s="879"/>
      <c r="D62" s="879"/>
      <c r="E62" s="880" t="s">
        <v>118</v>
      </c>
      <c r="F62" s="496">
        <v>2028</v>
      </c>
      <c r="G62" s="496">
        <v>2029</v>
      </c>
      <c r="H62" s="496">
        <v>2030</v>
      </c>
      <c r="I62" s="496">
        <v>2031</v>
      </c>
      <c r="J62" s="496">
        <v>2032</v>
      </c>
      <c r="K62" s="496">
        <v>2033</v>
      </c>
      <c r="L62" s="496">
        <v>2034</v>
      </c>
      <c r="M62" s="496">
        <v>2035</v>
      </c>
      <c r="N62" s="496">
        <v>2036</v>
      </c>
      <c r="O62" s="496">
        <v>2037</v>
      </c>
      <c r="P62" s="496">
        <v>2038</v>
      </c>
      <c r="Q62" s="496">
        <v>2039</v>
      </c>
      <c r="R62" s="496">
        <v>2040</v>
      </c>
      <c r="S62" s="496">
        <v>2041</v>
      </c>
      <c r="T62" s="496">
        <v>2042</v>
      </c>
      <c r="U62" s="496">
        <v>2043</v>
      </c>
      <c r="V62" s="496">
        <v>2044</v>
      </c>
      <c r="W62" s="496">
        <v>2045</v>
      </c>
      <c r="X62" s="496">
        <v>2046</v>
      </c>
    </row>
    <row r="63" spans="1:24">
      <c r="A63" s="282" t="s">
        <v>11</v>
      </c>
      <c r="B63" s="37" t="s">
        <v>76</v>
      </c>
      <c r="C63" s="37" t="s">
        <v>77</v>
      </c>
      <c r="D63" s="272"/>
      <c r="E63" s="273">
        <f>E64+E69+E71+E74+E68</f>
        <v>1155.5691491439436</v>
      </c>
    </row>
    <row r="64" spans="1:24">
      <c r="A64" s="618" t="s">
        <v>12</v>
      </c>
      <c r="B64" s="39" t="s">
        <v>79</v>
      </c>
      <c r="C64" s="39" t="s">
        <v>142</v>
      </c>
      <c r="D64" s="867"/>
      <c r="E64" s="619">
        <f>SUM(E65:E67)</f>
        <v>769.63977163803963</v>
      </c>
      <c r="F64" s="497">
        <f>E64+E64*1.41%</f>
        <v>780.49169241813604</v>
      </c>
      <c r="G64" s="497">
        <f>F64+F64*1.54%</f>
        <v>792.51126448137529</v>
      </c>
      <c r="H64" s="497">
        <f>G64+G64*1.47%</f>
        <v>804.16118006925149</v>
      </c>
      <c r="I64" s="497">
        <f>H64+H64*1.21%</f>
        <v>813.89153034808942</v>
      </c>
      <c r="J64" s="497">
        <f>I64+I64*1.34%</f>
        <v>824.79767685475383</v>
      </c>
      <c r="K64" s="497">
        <f>J64+J64*1.31%</f>
        <v>835.60252642155115</v>
      </c>
      <c r="L64" s="497">
        <f>K64+K64*1.35%</f>
        <v>846.88316052824212</v>
      </c>
      <c r="M64" s="497">
        <f>L64+L64*1.5%</f>
        <v>859.58640793616576</v>
      </c>
      <c r="N64" s="497">
        <f>M64+M64*1.04%</f>
        <v>868.52610657870184</v>
      </c>
      <c r="O64" s="497">
        <f>N64+N64*1.12%</f>
        <v>878.25359897238332</v>
      </c>
      <c r="P64" s="497">
        <f>O64+O64*1.15%</f>
        <v>888.35351536056578</v>
      </c>
      <c r="Q64" s="497">
        <f>P64+P64*1.05%</f>
        <v>897.68122727185175</v>
      </c>
      <c r="R64" s="497">
        <f>Q64+Q64*1.03%</f>
        <v>906.92734391275178</v>
      </c>
      <c r="S64" s="497">
        <f>R64+R64*1.02%</f>
        <v>916.17800282066185</v>
      </c>
      <c r="T64" s="497">
        <f>S64+S64*1.15%</f>
        <v>926.71404985309948</v>
      </c>
      <c r="U64" s="497">
        <f>T64+T64*1.18%</f>
        <v>937.6492756413661</v>
      </c>
      <c r="V64" s="497">
        <f>U64+U64*1.25%</f>
        <v>949.36989158688323</v>
      </c>
      <c r="W64" s="497">
        <f>V64+V64*1.15%</f>
        <v>960.28764534013237</v>
      </c>
      <c r="X64" s="497">
        <f>W64+W64*1.17%</f>
        <v>971.52301079061192</v>
      </c>
    </row>
    <row r="65" spans="1:24">
      <c r="A65" s="866" t="s">
        <v>145</v>
      </c>
      <c r="B65" s="865">
        <f>B4</f>
        <v>161200</v>
      </c>
      <c r="C65" s="865">
        <f>C4</f>
        <v>38499.365486230745</v>
      </c>
      <c r="D65" s="866"/>
      <c r="E65" s="865">
        <f>(B65*C65)/10^7</f>
        <v>620.60977163803955</v>
      </c>
      <c r="F65" s="497"/>
      <c r="G65" s="497"/>
      <c r="H65" s="497"/>
      <c r="I65" s="497"/>
      <c r="J65" s="497"/>
      <c r="K65" s="497"/>
      <c r="L65" s="497"/>
      <c r="M65" s="497"/>
      <c r="N65" s="497"/>
      <c r="O65" s="497"/>
      <c r="P65" s="497"/>
      <c r="Q65" s="497"/>
      <c r="R65" s="497"/>
      <c r="S65" s="497"/>
      <c r="T65" s="497"/>
      <c r="U65" s="497"/>
      <c r="V65" s="497"/>
      <c r="W65" s="497"/>
      <c r="X65" s="497"/>
    </row>
    <row r="66" spans="1:24">
      <c r="A66" s="866" t="s">
        <v>139</v>
      </c>
      <c r="B66" s="865">
        <v>206500</v>
      </c>
      <c r="C66" s="865">
        <v>5900</v>
      </c>
      <c r="D66" s="864"/>
      <c r="E66" s="863">
        <f>(B66*C66)/10^7</f>
        <v>121.83499999999999</v>
      </c>
      <c r="F66" s="261"/>
      <c r="L66" s="261"/>
    </row>
    <row r="67" spans="1:24">
      <c r="A67" s="866" t="s">
        <v>140</v>
      </c>
      <c r="B67" s="865">
        <v>49000</v>
      </c>
      <c r="C67" s="865">
        <f>C6</f>
        <v>5550</v>
      </c>
      <c r="D67" s="864"/>
      <c r="E67" s="863">
        <f>(B67*C67)/10^7</f>
        <v>27.195</v>
      </c>
      <c r="F67" s="261"/>
      <c r="L67" s="261"/>
    </row>
    <row r="68" spans="1:24">
      <c r="A68" s="862" t="s">
        <v>14</v>
      </c>
      <c r="B68" s="593"/>
      <c r="C68" s="593"/>
      <c r="D68" s="593"/>
      <c r="E68" s="33">
        <v>132.72999999999999</v>
      </c>
      <c r="F68" s="497">
        <f>E68+E68*1.55%</f>
        <v>134.78731499999998</v>
      </c>
      <c r="G68" s="497">
        <f>F68+F68*1.57%</f>
        <v>136.90347584549997</v>
      </c>
      <c r="H68" s="497">
        <f>G68+G68*1.43%</f>
        <v>138.86119555009063</v>
      </c>
      <c r="I68" s="497">
        <f>H68+H68*1.4%</f>
        <v>140.80525228779189</v>
      </c>
      <c r="J68" s="497">
        <f t="shared" ref="J68:X68" si="6">I68+I68*1.34%</f>
        <v>142.69204266844829</v>
      </c>
      <c r="K68" s="497">
        <f t="shared" si="6"/>
        <v>144.6041160402055</v>
      </c>
      <c r="L68" s="497">
        <f t="shared" si="6"/>
        <v>146.54181119514425</v>
      </c>
      <c r="M68" s="497">
        <f t="shared" si="6"/>
        <v>148.50547146515919</v>
      </c>
      <c r="N68" s="497">
        <f t="shared" si="6"/>
        <v>150.49544478279233</v>
      </c>
      <c r="O68" s="497">
        <f t="shared" si="6"/>
        <v>152.51208374288174</v>
      </c>
      <c r="P68" s="497">
        <f t="shared" si="6"/>
        <v>154.55574566503637</v>
      </c>
      <c r="Q68" s="497">
        <f t="shared" si="6"/>
        <v>156.62679265694786</v>
      </c>
      <c r="R68" s="497">
        <f t="shared" si="6"/>
        <v>158.72559167855096</v>
      </c>
      <c r="S68" s="497">
        <f t="shared" si="6"/>
        <v>160.85251460704353</v>
      </c>
      <c r="T68" s="497">
        <f t="shared" si="6"/>
        <v>163.00793830277792</v>
      </c>
      <c r="U68" s="497">
        <f t="shared" si="6"/>
        <v>165.19224467603513</v>
      </c>
      <c r="V68" s="497">
        <f t="shared" si="6"/>
        <v>167.40582075469399</v>
      </c>
      <c r="W68" s="497">
        <f t="shared" si="6"/>
        <v>169.64905875280689</v>
      </c>
      <c r="X68" s="497">
        <f t="shared" si="6"/>
        <v>171.92235614009451</v>
      </c>
    </row>
    <row r="69" spans="1:24">
      <c r="A69" s="267" t="s">
        <v>15</v>
      </c>
      <c r="B69" s="590"/>
      <c r="C69" s="590"/>
      <c r="D69" s="590"/>
      <c r="E69" s="268">
        <f>E70</f>
        <v>26.91</v>
      </c>
      <c r="F69" s="261"/>
      <c r="L69" s="261"/>
    </row>
    <row r="70" spans="1:24">
      <c r="A70" s="862" t="s">
        <v>16</v>
      </c>
      <c r="B70" s="593"/>
      <c r="C70" s="593"/>
      <c r="D70" s="593" t="s">
        <v>13</v>
      </c>
      <c r="E70" s="33">
        <f>'Salaries &amp; Wages Calculations'!D8</f>
        <v>26.91</v>
      </c>
    </row>
    <row r="71" spans="1:24">
      <c r="A71" s="267" t="s">
        <v>17</v>
      </c>
      <c r="B71" s="590"/>
      <c r="C71" s="590"/>
      <c r="D71" s="590"/>
      <c r="E71" s="268">
        <f>E73+E72</f>
        <v>157.19999999999999</v>
      </c>
      <c r="L71" s="261"/>
    </row>
    <row r="72" spans="1:24">
      <c r="A72" s="862" t="s">
        <v>18</v>
      </c>
      <c r="B72" s="593"/>
      <c r="C72" s="593"/>
      <c r="D72" s="593"/>
      <c r="E72" s="33">
        <v>39.200000000000003</v>
      </c>
    </row>
    <row r="73" spans="1:24">
      <c r="A73" s="862" t="s">
        <v>19</v>
      </c>
      <c r="B73" s="593"/>
      <c r="C73" s="593"/>
      <c r="D73" s="593"/>
      <c r="E73" s="33">
        <v>118</v>
      </c>
    </row>
    <row r="74" spans="1:24">
      <c r="A74" s="267" t="s">
        <v>20</v>
      </c>
      <c r="B74" s="590"/>
      <c r="C74" s="590"/>
      <c r="D74" s="590"/>
      <c r="E74" s="268">
        <f>E75+E76</f>
        <v>69.089377505903997</v>
      </c>
      <c r="L74" s="261"/>
    </row>
    <row r="75" spans="1:24">
      <c r="A75" s="862" t="s">
        <v>347</v>
      </c>
      <c r="B75" s="593"/>
      <c r="C75" s="593"/>
      <c r="D75" s="3">
        <v>1.4999999999999999E-2</v>
      </c>
      <c r="E75" s="165">
        <f>D75*Capex!D21</f>
        <v>62.391746517119991</v>
      </c>
    </row>
    <row r="76" spans="1:24">
      <c r="A76" s="861" t="s">
        <v>506</v>
      </c>
      <c r="B76" s="860"/>
      <c r="C76" s="860"/>
      <c r="D76" s="258">
        <v>7.4999999999999997E-2</v>
      </c>
      <c r="E76" s="271">
        <f>D76*(E75+E70)</f>
        <v>6.6976309887839998</v>
      </c>
    </row>
    <row r="77" spans="1:24">
      <c r="A77" s="267" t="s">
        <v>21</v>
      </c>
      <c r="B77" s="590"/>
      <c r="C77" s="590"/>
      <c r="D77" s="43"/>
      <c r="E77" s="268">
        <f>E79+E78</f>
        <v>82.739357757992479</v>
      </c>
      <c r="L77" s="260"/>
    </row>
    <row r="78" spans="1:24">
      <c r="A78" s="862" t="s">
        <v>437</v>
      </c>
      <c r="B78" s="593"/>
      <c r="C78" s="593"/>
      <c r="D78" s="3">
        <v>2.5000000000000001E-2</v>
      </c>
      <c r="E78" s="33">
        <f>Sales!E5*D18</f>
        <v>65.405820520833331</v>
      </c>
    </row>
    <row r="79" spans="1:24">
      <c r="A79" s="861" t="s">
        <v>393</v>
      </c>
      <c r="B79" s="860"/>
      <c r="C79" s="860"/>
      <c r="D79" s="258">
        <v>1.4999999999999999E-2</v>
      </c>
      <c r="E79" s="271">
        <f>E63*D79</f>
        <v>17.333537237159153</v>
      </c>
    </row>
    <row r="80" spans="1:24">
      <c r="A80" s="858" t="s">
        <v>22</v>
      </c>
      <c r="B80" s="858"/>
      <c r="C80" s="858"/>
      <c r="D80" s="858"/>
      <c r="E80" s="857">
        <f>E77+E63</f>
        <v>1238.3085069019362</v>
      </c>
    </row>
    <row r="81" spans="1:24" hidden="1"/>
    <row r="82" spans="1:24" hidden="1">
      <c r="A82" s="1075" t="s">
        <v>542</v>
      </c>
      <c r="B82" s="1076"/>
      <c r="C82" s="588"/>
      <c r="D82" s="588"/>
      <c r="E82" s="266" t="s">
        <v>118</v>
      </c>
      <c r="F82" s="496">
        <v>2028</v>
      </c>
      <c r="G82" s="496">
        <v>2029</v>
      </c>
      <c r="H82" s="496">
        <v>2030</v>
      </c>
      <c r="I82" s="496">
        <v>2031</v>
      </c>
      <c r="J82" s="496">
        <v>2032</v>
      </c>
      <c r="K82" s="496">
        <v>2033</v>
      </c>
      <c r="L82" s="496">
        <v>2034</v>
      </c>
      <c r="M82" s="496">
        <v>2035</v>
      </c>
      <c r="N82" s="496">
        <v>2036</v>
      </c>
      <c r="O82" s="496">
        <v>2037</v>
      </c>
      <c r="P82" s="496">
        <v>2038</v>
      </c>
      <c r="Q82" s="496">
        <v>2039</v>
      </c>
      <c r="R82" s="496">
        <v>2040</v>
      </c>
      <c r="S82" s="496">
        <v>2041</v>
      </c>
      <c r="T82" s="496">
        <v>2042</v>
      </c>
      <c r="U82" s="496">
        <v>2043</v>
      </c>
      <c r="V82" s="496">
        <v>2044</v>
      </c>
      <c r="W82" s="496">
        <v>2045</v>
      </c>
      <c r="X82" s="496">
        <v>2046</v>
      </c>
    </row>
    <row r="83" spans="1:24" hidden="1">
      <c r="A83" s="282" t="s">
        <v>11</v>
      </c>
      <c r="B83" s="37" t="s">
        <v>76</v>
      </c>
      <c r="C83" s="37" t="s">
        <v>77</v>
      </c>
      <c r="D83" s="272"/>
      <c r="E83" s="273">
        <f>E84+E89+E91+E94+E88</f>
        <v>2023.5543775059043</v>
      </c>
    </row>
    <row r="84" spans="1:24" hidden="1">
      <c r="A84" s="618" t="s">
        <v>12</v>
      </c>
      <c r="B84" s="39" t="s">
        <v>79</v>
      </c>
      <c r="C84" s="39" t="s">
        <v>142</v>
      </c>
      <c r="D84" s="867"/>
      <c r="E84" s="619">
        <f>SUM(E85:E87)</f>
        <v>1614.9450000000002</v>
      </c>
      <c r="F84" s="497">
        <f>E84+E84*1.41%</f>
        <v>1637.7157245000001</v>
      </c>
      <c r="G84" s="497">
        <f>F84+F84*1.54%</f>
        <v>1662.9365466573001</v>
      </c>
      <c r="H84" s="497">
        <f>G84+G84*1.47%</f>
        <v>1687.3817138931624</v>
      </c>
      <c r="I84" s="497">
        <f>H84+H84*1.21%</f>
        <v>1707.7990326312697</v>
      </c>
      <c r="J84" s="497">
        <f>I84+I84*1.34%</f>
        <v>1730.6835396685287</v>
      </c>
      <c r="K84" s="497">
        <f>J84+J84*1.31%</f>
        <v>1753.3554940381864</v>
      </c>
      <c r="L84" s="497">
        <f>K84+K84*1.35%</f>
        <v>1777.025793207702</v>
      </c>
      <c r="M84" s="497">
        <f>L84+L84*1.5%</f>
        <v>1803.6811801058175</v>
      </c>
      <c r="N84" s="497">
        <f>M84+M84*1.04%</f>
        <v>1822.439464378918</v>
      </c>
      <c r="O84" s="497">
        <f>N84+N84*1.12%</f>
        <v>1842.8507863799618</v>
      </c>
      <c r="P84" s="497">
        <f>O84+O84*1.15%</f>
        <v>1864.0435704233314</v>
      </c>
      <c r="Q84" s="497">
        <f>P84+P84*1.05%</f>
        <v>1883.6160279127764</v>
      </c>
      <c r="R84" s="497">
        <f>Q84+Q84*1.03%</f>
        <v>1903.017273000278</v>
      </c>
      <c r="S84" s="497">
        <f>R84+R84*1.02%</f>
        <v>1922.4280491848808</v>
      </c>
      <c r="T84" s="497">
        <f>S84+S84*1.15%</f>
        <v>1944.5359717505069</v>
      </c>
      <c r="U84" s="497">
        <f>T84+T84*1.18%</f>
        <v>1967.4814962171629</v>
      </c>
      <c r="V84" s="497">
        <f>U84+U84*1.25%</f>
        <v>1992.0750149198775</v>
      </c>
      <c r="W84" s="497">
        <f>V84+V84*1.15%</f>
        <v>2014.9838775914561</v>
      </c>
      <c r="X84" s="497">
        <f>W84+W84*1.17%</f>
        <v>2038.5591889592761</v>
      </c>
    </row>
    <row r="85" spans="1:24" hidden="1">
      <c r="A85" s="866" t="s">
        <v>145</v>
      </c>
      <c r="B85" s="865">
        <v>161200</v>
      </c>
      <c r="C85" s="865">
        <v>84500</v>
      </c>
      <c r="D85" s="866"/>
      <c r="E85" s="865">
        <f>(B85*C85)/10^7</f>
        <v>1362.14</v>
      </c>
      <c r="F85" s="497"/>
      <c r="G85" s="497"/>
      <c r="H85" s="497"/>
      <c r="I85" s="497"/>
      <c r="J85" s="497"/>
      <c r="K85" s="497"/>
      <c r="L85" s="497"/>
      <c r="M85" s="497"/>
      <c r="N85" s="497"/>
      <c r="O85" s="497"/>
      <c r="P85" s="497"/>
      <c r="Q85" s="497"/>
      <c r="R85" s="497"/>
      <c r="S85" s="497"/>
      <c r="T85" s="497"/>
      <c r="U85" s="497"/>
      <c r="V85" s="497"/>
      <c r="W85" s="497"/>
      <c r="X85" s="497"/>
    </row>
    <row r="86" spans="1:24" hidden="1">
      <c r="A86" s="866" t="s">
        <v>139</v>
      </c>
      <c r="B86" s="865">
        <v>206500</v>
      </c>
      <c r="C86" s="865">
        <v>9300</v>
      </c>
      <c r="D86" s="864"/>
      <c r="E86" s="863">
        <f>(B86*C86)/10^7</f>
        <v>192.04499999999999</v>
      </c>
      <c r="F86" s="261"/>
      <c r="L86" s="261"/>
    </row>
    <row r="87" spans="1:24" hidden="1">
      <c r="A87" s="866" t="s">
        <v>140</v>
      </c>
      <c r="B87" s="865">
        <v>49000</v>
      </c>
      <c r="C87" s="865">
        <v>12400</v>
      </c>
      <c r="D87" s="864"/>
      <c r="E87" s="863">
        <f>(B87*C87)/10^7</f>
        <v>60.76</v>
      </c>
      <c r="F87" s="261"/>
      <c r="L87" s="261"/>
    </row>
    <row r="88" spans="1:24" hidden="1">
      <c r="A88" s="862" t="s">
        <v>14</v>
      </c>
      <c r="B88" s="593"/>
      <c r="C88" s="593"/>
      <c r="D88" s="593"/>
      <c r="E88" s="33">
        <v>155.41</v>
      </c>
      <c r="F88" s="497">
        <f>E88+E88*1.55%</f>
        <v>157.81885499999999</v>
      </c>
      <c r="G88" s="497">
        <f>F88+F88*1.57%</f>
        <v>160.29661102349999</v>
      </c>
      <c r="H88" s="497">
        <f>G88+G88*1.43%</f>
        <v>162.58885256113604</v>
      </c>
      <c r="I88" s="497">
        <f>H88+H88*1.4%</f>
        <v>164.86509649699195</v>
      </c>
      <c r="J88" s="497">
        <f t="shared" ref="J88:X88" si="7">I88+I88*1.34%</f>
        <v>167.07428879005164</v>
      </c>
      <c r="K88" s="497">
        <f t="shared" si="7"/>
        <v>169.31308425983832</v>
      </c>
      <c r="L88" s="497">
        <f t="shared" si="7"/>
        <v>171.58187958892015</v>
      </c>
      <c r="M88" s="497">
        <f t="shared" si="7"/>
        <v>173.88107677541169</v>
      </c>
      <c r="N88" s="497">
        <f t="shared" si="7"/>
        <v>176.2110832042022</v>
      </c>
      <c r="O88" s="497">
        <f t="shared" si="7"/>
        <v>178.5723117191385</v>
      </c>
      <c r="P88" s="497">
        <f t="shared" si="7"/>
        <v>180.96518069617494</v>
      </c>
      <c r="Q88" s="497">
        <f t="shared" si="7"/>
        <v>183.39011411750369</v>
      </c>
      <c r="R88" s="497">
        <f t="shared" si="7"/>
        <v>185.84754164667822</v>
      </c>
      <c r="S88" s="497">
        <f t="shared" si="7"/>
        <v>188.33789870474371</v>
      </c>
      <c r="T88" s="497">
        <f t="shared" si="7"/>
        <v>190.86162654738726</v>
      </c>
      <c r="U88" s="497">
        <f t="shared" si="7"/>
        <v>193.41917234312226</v>
      </c>
      <c r="V88" s="497">
        <f t="shared" si="7"/>
        <v>196.01098925252009</v>
      </c>
      <c r="W88" s="497">
        <f t="shared" si="7"/>
        <v>198.63753650850387</v>
      </c>
      <c r="X88" s="497">
        <f t="shared" si="7"/>
        <v>201.29927949771783</v>
      </c>
    </row>
    <row r="89" spans="1:24" hidden="1">
      <c r="A89" s="267" t="s">
        <v>15</v>
      </c>
      <c r="B89" s="590"/>
      <c r="C89" s="590"/>
      <c r="D89" s="590"/>
      <c r="E89" s="268">
        <f>E90</f>
        <v>26.91</v>
      </c>
      <c r="F89" s="261"/>
      <c r="L89" s="261"/>
    </row>
    <row r="90" spans="1:24" hidden="1">
      <c r="A90" s="862" t="s">
        <v>16</v>
      </c>
      <c r="B90" s="593"/>
      <c r="C90" s="593"/>
      <c r="D90" s="593" t="s">
        <v>13</v>
      </c>
      <c r="E90" s="33">
        <f>E70</f>
        <v>26.91</v>
      </c>
    </row>
    <row r="91" spans="1:24" hidden="1">
      <c r="A91" s="267" t="s">
        <v>17</v>
      </c>
      <c r="B91" s="590"/>
      <c r="C91" s="590"/>
      <c r="D91" s="590"/>
      <c r="E91" s="268">
        <f>E93+E92</f>
        <v>157.19999999999999</v>
      </c>
      <c r="L91" s="261"/>
    </row>
    <row r="92" spans="1:24" hidden="1">
      <c r="A92" s="862" t="s">
        <v>18</v>
      </c>
      <c r="B92" s="593"/>
      <c r="C92" s="593"/>
      <c r="D92" s="593"/>
      <c r="E92" s="33">
        <v>39.200000000000003</v>
      </c>
    </row>
    <row r="93" spans="1:24" hidden="1">
      <c r="A93" s="862" t="s">
        <v>19</v>
      </c>
      <c r="B93" s="593"/>
      <c r="C93" s="593"/>
      <c r="D93" s="593"/>
      <c r="E93" s="33">
        <v>118</v>
      </c>
    </row>
    <row r="94" spans="1:24" hidden="1">
      <c r="A94" s="267" t="s">
        <v>20</v>
      </c>
      <c r="B94" s="590"/>
      <c r="C94" s="590"/>
      <c r="D94" s="590"/>
      <c r="E94" s="268">
        <f>E95+E96</f>
        <v>69.089377505903997</v>
      </c>
      <c r="L94" s="261"/>
    </row>
    <row r="95" spans="1:24" hidden="1">
      <c r="A95" s="862" t="s">
        <v>347</v>
      </c>
      <c r="B95" s="593"/>
      <c r="C95" s="593"/>
      <c r="D95" s="3">
        <v>1.4999999999999999E-2</v>
      </c>
      <c r="E95" s="165">
        <f>E15</f>
        <v>62.391746517119991</v>
      </c>
    </row>
    <row r="96" spans="1:24" hidden="1">
      <c r="A96" s="861" t="s">
        <v>506</v>
      </c>
      <c r="B96" s="860"/>
      <c r="C96" s="860"/>
      <c r="D96" s="258">
        <v>7.4999999999999997E-2</v>
      </c>
      <c r="E96" s="271">
        <f>D96*(E95+E90)</f>
        <v>6.6976309887839998</v>
      </c>
    </row>
    <row r="97" spans="1:24" hidden="1">
      <c r="A97" s="267" t="s">
        <v>21</v>
      </c>
      <c r="B97" s="590"/>
      <c r="C97" s="590"/>
      <c r="D97" s="43"/>
      <c r="E97" s="268">
        <f>E99+E98</f>
        <v>123.79020212092189</v>
      </c>
      <c r="L97" s="260"/>
    </row>
    <row r="98" spans="1:24" hidden="1">
      <c r="A98" s="862" t="s">
        <v>437</v>
      </c>
      <c r="B98" s="593"/>
      <c r="C98" s="593"/>
      <c r="D98" s="3">
        <v>2.5000000000000001E-2</v>
      </c>
      <c r="E98" s="33">
        <f>E39</f>
        <v>93.436886458333333</v>
      </c>
    </row>
    <row r="99" spans="1:24" hidden="1">
      <c r="A99" s="861" t="s">
        <v>393</v>
      </c>
      <c r="B99" s="860"/>
      <c r="C99" s="860"/>
      <c r="D99" s="258">
        <v>1.4999999999999999E-2</v>
      </c>
      <c r="E99" s="271">
        <f>E83*D99</f>
        <v>30.353315662588564</v>
      </c>
    </row>
    <row r="100" spans="1:24" hidden="1">
      <c r="A100" s="859" t="s">
        <v>22</v>
      </c>
      <c r="B100" s="858"/>
      <c r="C100" s="858"/>
      <c r="D100" s="858"/>
      <c r="E100" s="857">
        <f>E97+E83</f>
        <v>2147.3445796268261</v>
      </c>
    </row>
    <row r="101" spans="1:24" hidden="1"/>
    <row r="102" spans="1:24" hidden="1"/>
    <row r="104" spans="1:24">
      <c r="A104" s="878" t="s">
        <v>658</v>
      </c>
      <c r="B104" s="879"/>
      <c r="C104" s="879"/>
      <c r="D104" s="879"/>
      <c r="E104" s="880" t="s">
        <v>118</v>
      </c>
      <c r="F104" s="496">
        <v>2028</v>
      </c>
      <c r="G104" s="496">
        <v>2029</v>
      </c>
      <c r="H104" s="496">
        <v>2030</v>
      </c>
      <c r="I104" s="496">
        <v>2031</v>
      </c>
      <c r="J104" s="496">
        <v>2032</v>
      </c>
      <c r="K104" s="496">
        <v>2033</v>
      </c>
      <c r="L104" s="496">
        <v>2034</v>
      </c>
      <c r="M104" s="496">
        <v>2035</v>
      </c>
      <c r="N104" s="496">
        <v>2036</v>
      </c>
      <c r="O104" s="496">
        <v>2037</v>
      </c>
      <c r="P104" s="496">
        <v>2038</v>
      </c>
      <c r="Q104" s="496">
        <v>2039</v>
      </c>
      <c r="R104" s="496">
        <v>2040</v>
      </c>
      <c r="S104" s="496">
        <v>2041</v>
      </c>
      <c r="T104" s="496">
        <v>2042</v>
      </c>
      <c r="U104" s="496">
        <v>2043</v>
      </c>
      <c r="V104" s="496">
        <v>2044</v>
      </c>
      <c r="W104" s="496">
        <v>2045</v>
      </c>
      <c r="X104" s="496">
        <v>2046</v>
      </c>
    </row>
    <row r="105" spans="1:24">
      <c r="A105" s="282" t="s">
        <v>11</v>
      </c>
      <c r="B105" s="37" t="s">
        <v>76</v>
      </c>
      <c r="C105" s="37" t="s">
        <v>77</v>
      </c>
      <c r="D105" s="272"/>
      <c r="E105" s="273">
        <f>E106+E111+E113+E116+E110</f>
        <v>1129.8068159185245</v>
      </c>
    </row>
    <row r="106" spans="1:24">
      <c r="A106" s="618" t="s">
        <v>12</v>
      </c>
      <c r="B106" s="39" t="s">
        <v>79</v>
      </c>
      <c r="C106" s="39" t="s">
        <v>142</v>
      </c>
      <c r="D106" s="867"/>
      <c r="E106" s="619">
        <f>SUM(E107:E109)</f>
        <v>743.87743841262068</v>
      </c>
      <c r="F106" s="497">
        <f>E106+E106*1.41%</f>
        <v>754.36611029423864</v>
      </c>
      <c r="G106" s="497">
        <f>F106+F106*1.54%</f>
        <v>765.98334839276993</v>
      </c>
      <c r="H106" s="497">
        <f>G106+G106*1.47%</f>
        <v>777.24330361414366</v>
      </c>
      <c r="I106" s="497">
        <f>H106+H106*1.21%</f>
        <v>786.6479475878748</v>
      </c>
      <c r="J106" s="497">
        <f>I106+I106*1.34%</f>
        <v>797.1890300855523</v>
      </c>
      <c r="K106" s="497">
        <f>J106+J106*1.31%</f>
        <v>807.63220637967299</v>
      </c>
      <c r="L106" s="497">
        <f>K106+K106*1.35%</f>
        <v>818.53524116579854</v>
      </c>
      <c r="M106" s="497">
        <f>L106+L106*1.5%</f>
        <v>830.81326978328548</v>
      </c>
      <c r="N106" s="497">
        <f>M106+M106*1.04%</f>
        <v>839.45372778903163</v>
      </c>
      <c r="O106" s="497">
        <f>N106+N106*1.12%</f>
        <v>848.8556095402688</v>
      </c>
      <c r="P106" s="497">
        <f>O106+O106*1.15%</f>
        <v>858.61744904998193</v>
      </c>
      <c r="Q106" s="497">
        <f>P106+P106*1.05%</f>
        <v>867.63293226500673</v>
      </c>
      <c r="R106" s="497">
        <f>Q106+Q106*1.03%</f>
        <v>876.56955146733628</v>
      </c>
      <c r="S106" s="497">
        <f>R106+R106*1.02%</f>
        <v>885.51056089230315</v>
      </c>
      <c r="T106" s="497">
        <f>S106+S106*1.15%</f>
        <v>895.69393234256461</v>
      </c>
      <c r="U106" s="497">
        <f>T106+T106*1.18%</f>
        <v>906.26312074420684</v>
      </c>
      <c r="V106" s="497">
        <f>U106+U106*1.25%</f>
        <v>917.59140975350942</v>
      </c>
      <c r="W106" s="497">
        <f>V106+V106*1.15%</f>
        <v>928.14371096567481</v>
      </c>
      <c r="X106" s="497">
        <f>W106+W106*1.17%</f>
        <v>939.00299238397315</v>
      </c>
    </row>
    <row r="107" spans="1:24">
      <c r="A107" s="866" t="s">
        <v>145</v>
      </c>
      <c r="B107" s="865">
        <f>B65</f>
        <v>161200</v>
      </c>
      <c r="C107" s="865">
        <f>'Financial Model Eth. Fur. Add.'!CM69</f>
        <v>36901.205856862325</v>
      </c>
      <c r="D107" s="866"/>
      <c r="E107" s="865">
        <f>(B107*C107)/10^7</f>
        <v>594.84743841262059</v>
      </c>
      <c r="F107" s="497"/>
      <c r="G107" s="497"/>
      <c r="H107" s="497"/>
      <c r="I107" s="497"/>
      <c r="J107" s="497"/>
      <c r="K107" s="497"/>
      <c r="L107" s="497"/>
      <c r="M107" s="497"/>
      <c r="N107" s="497"/>
      <c r="O107" s="497"/>
      <c r="P107" s="497"/>
      <c r="Q107" s="497"/>
      <c r="R107" s="497"/>
      <c r="S107" s="497"/>
      <c r="T107" s="497"/>
      <c r="U107" s="497"/>
      <c r="V107" s="497"/>
      <c r="W107" s="497"/>
      <c r="X107" s="497"/>
    </row>
    <row r="108" spans="1:24">
      <c r="A108" s="866" t="s">
        <v>139</v>
      </c>
      <c r="B108" s="865">
        <v>206500</v>
      </c>
      <c r="C108" s="865">
        <v>5900</v>
      </c>
      <c r="D108" s="864"/>
      <c r="E108" s="863">
        <f>(B108*C108)/10^7</f>
        <v>121.83499999999999</v>
      </c>
      <c r="F108" s="261"/>
      <c r="L108" s="261"/>
    </row>
    <row r="109" spans="1:24">
      <c r="A109" s="866" t="s">
        <v>140</v>
      </c>
      <c r="B109" s="865">
        <v>49000</v>
      </c>
      <c r="C109" s="865">
        <f>C67</f>
        <v>5550</v>
      </c>
      <c r="D109" s="864"/>
      <c r="E109" s="863">
        <f>(B109*C109)/10^7</f>
        <v>27.195</v>
      </c>
      <c r="F109" s="261"/>
      <c r="L109" s="261"/>
    </row>
    <row r="110" spans="1:24">
      <c r="A110" s="862" t="s">
        <v>14</v>
      </c>
      <c r="B110" s="593"/>
      <c r="C110" s="593"/>
      <c r="D110" s="593"/>
      <c r="E110" s="33">
        <f>E68</f>
        <v>132.72999999999999</v>
      </c>
      <c r="F110" s="497">
        <f>E110+E110*1.55%</f>
        <v>134.78731499999998</v>
      </c>
      <c r="G110" s="497">
        <f>F110+F110*1.57%</f>
        <v>136.90347584549997</v>
      </c>
      <c r="H110" s="497">
        <f>G110+G110*1.43%</f>
        <v>138.86119555009063</v>
      </c>
      <c r="I110" s="497">
        <f>H110+H110*1.4%</f>
        <v>140.80525228779189</v>
      </c>
      <c r="J110" s="497">
        <f t="shared" ref="J110:X110" si="8">I110+I110*1.34%</f>
        <v>142.69204266844829</v>
      </c>
      <c r="K110" s="497">
        <f t="shared" si="8"/>
        <v>144.6041160402055</v>
      </c>
      <c r="L110" s="497">
        <f t="shared" si="8"/>
        <v>146.54181119514425</v>
      </c>
      <c r="M110" s="497">
        <f t="shared" si="8"/>
        <v>148.50547146515919</v>
      </c>
      <c r="N110" s="497">
        <f t="shared" si="8"/>
        <v>150.49544478279233</v>
      </c>
      <c r="O110" s="497">
        <f t="shared" si="8"/>
        <v>152.51208374288174</v>
      </c>
      <c r="P110" s="497">
        <f t="shared" si="8"/>
        <v>154.55574566503637</v>
      </c>
      <c r="Q110" s="497">
        <f t="shared" si="8"/>
        <v>156.62679265694786</v>
      </c>
      <c r="R110" s="497">
        <f t="shared" si="8"/>
        <v>158.72559167855096</v>
      </c>
      <c r="S110" s="497">
        <f t="shared" si="8"/>
        <v>160.85251460704353</v>
      </c>
      <c r="T110" s="497">
        <f t="shared" si="8"/>
        <v>163.00793830277792</v>
      </c>
      <c r="U110" s="497">
        <f t="shared" si="8"/>
        <v>165.19224467603513</v>
      </c>
      <c r="V110" s="497">
        <f t="shared" si="8"/>
        <v>167.40582075469399</v>
      </c>
      <c r="W110" s="497">
        <f t="shared" si="8"/>
        <v>169.64905875280689</v>
      </c>
      <c r="X110" s="497">
        <f t="shared" si="8"/>
        <v>171.92235614009451</v>
      </c>
    </row>
    <row r="111" spans="1:24">
      <c r="A111" s="267" t="s">
        <v>15</v>
      </c>
      <c r="B111" s="590"/>
      <c r="C111" s="590"/>
      <c r="D111" s="590"/>
      <c r="E111" s="268">
        <f>E69</f>
        <v>26.91</v>
      </c>
      <c r="F111" s="261"/>
      <c r="L111" s="261"/>
    </row>
    <row r="112" spans="1:24">
      <c r="A112" s="862" t="s">
        <v>16</v>
      </c>
      <c r="B112" s="593"/>
      <c r="C112" s="593"/>
      <c r="D112" s="593" t="s">
        <v>13</v>
      </c>
      <c r="E112" s="268">
        <f>E70</f>
        <v>26.91</v>
      </c>
    </row>
    <row r="113" spans="1:12">
      <c r="A113" s="267" t="s">
        <v>17</v>
      </c>
      <c r="B113" s="590"/>
      <c r="C113" s="590"/>
      <c r="D113" s="590"/>
      <c r="E113" s="268">
        <f>E115+E114</f>
        <v>157.19999999999999</v>
      </c>
      <c r="L113" s="261"/>
    </row>
    <row r="114" spans="1:12">
      <c r="A114" s="862" t="s">
        <v>18</v>
      </c>
      <c r="B114" s="593"/>
      <c r="C114" s="593"/>
      <c r="D114" s="593"/>
      <c r="E114" s="33">
        <v>39.200000000000003</v>
      </c>
    </row>
    <row r="115" spans="1:12">
      <c r="A115" s="862" t="s">
        <v>19</v>
      </c>
      <c r="B115" s="593"/>
      <c r="C115" s="593"/>
      <c r="D115" s="593"/>
      <c r="E115" s="33">
        <v>118</v>
      </c>
    </row>
    <row r="116" spans="1:12">
      <c r="A116" s="267" t="s">
        <v>20</v>
      </c>
      <c r="B116" s="590"/>
      <c r="C116" s="590"/>
      <c r="D116" s="590"/>
      <c r="E116" s="268">
        <f>E117+E118</f>
        <v>69.089377505903997</v>
      </c>
      <c r="L116" s="261"/>
    </row>
    <row r="117" spans="1:12">
      <c r="A117" s="862" t="s">
        <v>347</v>
      </c>
      <c r="B117" s="593"/>
      <c r="C117" s="593"/>
      <c r="D117" s="3">
        <v>1.4999999999999999E-2</v>
      </c>
      <c r="E117" s="165">
        <f>D117*Capex!D21</f>
        <v>62.391746517119991</v>
      </c>
    </row>
    <row r="118" spans="1:12">
      <c r="A118" s="861" t="s">
        <v>506</v>
      </c>
      <c r="B118" s="860"/>
      <c r="C118" s="860"/>
      <c r="D118" s="258">
        <v>7.4999999999999997E-2</v>
      </c>
      <c r="E118" s="271">
        <f>D118*(E117+E112)</f>
        <v>6.6976309887839998</v>
      </c>
    </row>
    <row r="119" spans="1:12">
      <c r="A119" s="267" t="s">
        <v>21</v>
      </c>
      <c r="B119" s="590"/>
      <c r="C119" s="590"/>
      <c r="D119" s="43"/>
      <c r="E119" s="268">
        <f>E121+E120</f>
        <v>82.352922759611204</v>
      </c>
      <c r="L119" s="260"/>
    </row>
    <row r="120" spans="1:12">
      <c r="A120" s="862" t="s">
        <v>437</v>
      </c>
      <c r="B120" s="593"/>
      <c r="C120" s="593"/>
      <c r="D120" s="3">
        <v>2.5000000000000001E-2</v>
      </c>
      <c r="E120" s="33">
        <f>Sales!E5*D120</f>
        <v>65.405820520833331</v>
      </c>
    </row>
    <row r="121" spans="1:12">
      <c r="A121" s="861" t="s">
        <v>393</v>
      </c>
      <c r="B121" s="860"/>
      <c r="C121" s="860"/>
      <c r="D121" s="258">
        <v>1.4999999999999999E-2</v>
      </c>
      <c r="E121" s="271">
        <f>E105*D121</f>
        <v>16.947102238777866</v>
      </c>
    </row>
    <row r="122" spans="1:12">
      <c r="A122" s="858" t="s">
        <v>22</v>
      </c>
      <c r="B122" s="858"/>
      <c r="C122" s="858"/>
      <c r="D122" s="858"/>
      <c r="E122" s="857">
        <f>E119+E105</f>
        <v>1212.1597386781357</v>
      </c>
    </row>
  </sheetData>
  <mergeCells count="1">
    <mergeCell ref="A82:B8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A4F4-F449-455A-8ACC-CF18F8EF002F}">
  <sheetPr codeName="Sheet11"/>
  <dimension ref="A1:X19"/>
  <sheetViews>
    <sheetView showGridLines="0" zoomScaleNormal="100" zoomScaleSheetLayoutView="118" workbookViewId="0">
      <selection activeCell="E5" sqref="E5"/>
    </sheetView>
  </sheetViews>
  <sheetFormatPr defaultRowHeight="15"/>
  <cols>
    <col min="1" max="1" width="8" style="80" customWidth="1"/>
    <col min="2" max="2" width="24.7109375" customWidth="1"/>
    <col min="3" max="3" width="18.28515625" bestFit="1" customWidth="1"/>
    <col min="4" max="4" width="18.140625" bestFit="1" customWidth="1"/>
    <col min="5" max="5" width="19.28515625" bestFit="1" customWidth="1"/>
    <col min="6" max="24" width="6.5703125" hidden="1" customWidth="1"/>
    <col min="25" max="26" width="9.140625" customWidth="1"/>
  </cols>
  <sheetData>
    <row r="1" spans="1:24">
      <c r="A1" s="1077" t="s">
        <v>355</v>
      </c>
      <c r="B1" s="1077"/>
      <c r="C1" s="1077"/>
      <c r="D1" s="1077"/>
      <c r="E1" s="1077"/>
    </row>
    <row r="2" spans="1:24">
      <c r="A2" s="1077" t="s">
        <v>355</v>
      </c>
      <c r="B2" s="1077"/>
      <c r="C2" s="1077"/>
      <c r="D2" s="1077"/>
      <c r="E2" s="1077"/>
    </row>
    <row r="3" spans="1:24" ht="21.75" customHeight="1">
      <c r="A3" s="83" t="s">
        <v>117</v>
      </c>
      <c r="B3" s="83" t="s">
        <v>197</v>
      </c>
      <c r="C3" s="84" t="s">
        <v>194</v>
      </c>
      <c r="D3" s="84" t="s">
        <v>195</v>
      </c>
      <c r="E3" s="83" t="s">
        <v>196</v>
      </c>
      <c r="F3" s="496">
        <v>2028</v>
      </c>
      <c r="G3" s="496">
        <v>2029</v>
      </c>
      <c r="H3" s="496">
        <v>2030</v>
      </c>
      <c r="I3" s="496">
        <v>2031</v>
      </c>
      <c r="J3" s="496">
        <v>2032</v>
      </c>
      <c r="K3" s="496">
        <v>2033</v>
      </c>
      <c r="L3" s="496">
        <v>2034</v>
      </c>
      <c r="M3" s="496">
        <v>2035</v>
      </c>
      <c r="N3" s="496">
        <v>2036</v>
      </c>
      <c r="O3" s="496">
        <v>2037</v>
      </c>
      <c r="P3" s="496">
        <v>2038</v>
      </c>
      <c r="Q3" s="496">
        <v>2039</v>
      </c>
      <c r="R3" s="496">
        <v>2040</v>
      </c>
      <c r="S3" s="496">
        <v>2041</v>
      </c>
      <c r="T3" s="496">
        <v>2042</v>
      </c>
      <c r="U3" s="496">
        <v>2043</v>
      </c>
      <c r="V3" s="496">
        <v>2044</v>
      </c>
      <c r="W3" s="496">
        <v>2045</v>
      </c>
      <c r="X3" s="496">
        <v>2046</v>
      </c>
    </row>
    <row r="4" spans="1:24">
      <c r="A4" s="81">
        <v>1</v>
      </c>
      <c r="B4" s="498" t="s">
        <v>87</v>
      </c>
      <c r="C4" s="82">
        <f>'Financial Model Prop. Fur. Add.'!CM57</f>
        <v>74749.509166666656</v>
      </c>
      <c r="D4" s="85">
        <v>350000</v>
      </c>
      <c r="E4" s="499">
        <f>D4*C4/10^7</f>
        <v>2616.2328208333329</v>
      </c>
    </row>
    <row r="5" spans="1:24">
      <c r="A5" s="86"/>
      <c r="B5" s="87" t="s">
        <v>193</v>
      </c>
      <c r="C5" s="88"/>
      <c r="D5" s="88"/>
      <c r="E5" s="500">
        <f>SUM(E4:E4)</f>
        <v>2616.2328208333329</v>
      </c>
      <c r="F5" s="497">
        <f>E5+E5*1.2%</f>
        <v>2647.6276146833329</v>
      </c>
      <c r="G5" s="497">
        <f t="shared" ref="G5:X5" si="0">F5+F5*1.2%</f>
        <v>2679.399146059533</v>
      </c>
      <c r="H5" s="497">
        <f t="shared" si="0"/>
        <v>2711.5519358122474</v>
      </c>
      <c r="I5" s="497">
        <f t="shared" si="0"/>
        <v>2744.0905590419943</v>
      </c>
      <c r="J5" s="497">
        <f t="shared" si="0"/>
        <v>2777.0196457504981</v>
      </c>
      <c r="K5" s="497">
        <f t="shared" si="0"/>
        <v>2810.3438814995038</v>
      </c>
      <c r="L5" s="497">
        <f t="shared" si="0"/>
        <v>2844.0680080774978</v>
      </c>
      <c r="M5" s="497">
        <f t="shared" si="0"/>
        <v>2878.1968241744275</v>
      </c>
      <c r="N5" s="497">
        <f t="shared" si="0"/>
        <v>2912.7351860645208</v>
      </c>
      <c r="O5" s="497">
        <f t="shared" si="0"/>
        <v>2947.6880082972953</v>
      </c>
      <c r="P5" s="497">
        <f t="shared" si="0"/>
        <v>2983.0602643968627</v>
      </c>
      <c r="Q5" s="497">
        <f t="shared" si="0"/>
        <v>3018.8569875696253</v>
      </c>
      <c r="R5" s="497">
        <f t="shared" si="0"/>
        <v>3055.0832714204607</v>
      </c>
      <c r="S5" s="497">
        <f t="shared" si="0"/>
        <v>3091.7442706775064</v>
      </c>
      <c r="T5" s="497">
        <f t="shared" si="0"/>
        <v>3128.8452019256365</v>
      </c>
      <c r="U5" s="497">
        <f t="shared" si="0"/>
        <v>3166.391344348744</v>
      </c>
      <c r="V5" s="497">
        <f>U5+U5*1.2%</f>
        <v>3204.3880404809288</v>
      </c>
      <c r="W5" s="497">
        <f t="shared" si="0"/>
        <v>3242.8406969666999</v>
      </c>
      <c r="X5" s="497">
        <f t="shared" si="0"/>
        <v>3281.7547853303004</v>
      </c>
    </row>
    <row r="6" spans="1:24">
      <c r="A6" s="1077" t="s">
        <v>356</v>
      </c>
      <c r="B6" s="1077"/>
      <c r="C6" s="1077"/>
      <c r="D6" s="1077"/>
      <c r="E6" s="1077"/>
    </row>
    <row r="7" spans="1:24">
      <c r="A7" s="83" t="s">
        <v>117</v>
      </c>
      <c r="B7" s="83" t="s">
        <v>197</v>
      </c>
      <c r="C7" s="84" t="s">
        <v>194</v>
      </c>
      <c r="D7" s="84" t="s">
        <v>195</v>
      </c>
      <c r="E7" s="83" t="s">
        <v>196</v>
      </c>
      <c r="F7" s="496">
        <v>2028</v>
      </c>
      <c r="G7" s="496">
        <v>2029</v>
      </c>
      <c r="H7" s="496">
        <v>2030</v>
      </c>
      <c r="I7" s="496">
        <v>2031</v>
      </c>
      <c r="J7" s="496">
        <v>2032</v>
      </c>
      <c r="K7" s="496">
        <v>2033</v>
      </c>
      <c r="L7" s="496">
        <v>2034</v>
      </c>
      <c r="M7" s="496">
        <v>2035</v>
      </c>
      <c r="N7" s="496">
        <v>2036</v>
      </c>
      <c r="O7" s="496">
        <v>2037</v>
      </c>
      <c r="P7" s="496">
        <v>2038</v>
      </c>
      <c r="Q7" s="496">
        <v>2039</v>
      </c>
      <c r="R7" s="496">
        <v>2040</v>
      </c>
      <c r="S7" s="496">
        <v>2041</v>
      </c>
      <c r="T7" s="496">
        <v>2042</v>
      </c>
      <c r="U7" s="496">
        <v>2043</v>
      </c>
      <c r="V7" s="496">
        <v>2044</v>
      </c>
      <c r="W7" s="496">
        <v>2045</v>
      </c>
      <c r="X7" s="496">
        <v>2046</v>
      </c>
    </row>
    <row r="8" spans="1:24">
      <c r="A8" s="81">
        <v>1</v>
      </c>
      <c r="B8" s="498" t="s">
        <v>87</v>
      </c>
      <c r="C8" s="82">
        <f>'Financial Model Prop. Fur. Add.'!CM57</f>
        <v>74749.509166666656</v>
      </c>
      <c r="D8" s="85">
        <v>500000</v>
      </c>
      <c r="E8" s="499">
        <f>D8*C8/10^7</f>
        <v>3737.4754583333329</v>
      </c>
    </row>
    <row r="9" spans="1:24">
      <c r="A9" s="86"/>
      <c r="B9" s="87" t="s">
        <v>193</v>
      </c>
      <c r="C9" s="88"/>
      <c r="D9" s="88"/>
      <c r="E9" s="501">
        <f>SUM(E8:E8)</f>
        <v>3737.4754583333329</v>
      </c>
      <c r="F9" s="497">
        <f>E9+E9*1.2%</f>
        <v>3782.3251638333327</v>
      </c>
      <c r="G9" s="497">
        <f t="shared" ref="G9:X9" si="1">F9+F9*1.2%</f>
        <v>3827.7130657993325</v>
      </c>
      <c r="H9" s="497">
        <f t="shared" si="1"/>
        <v>3873.6456225889247</v>
      </c>
      <c r="I9" s="497">
        <f t="shared" si="1"/>
        <v>3920.1293700599917</v>
      </c>
      <c r="J9" s="497">
        <f t="shared" si="1"/>
        <v>3967.1709225007116</v>
      </c>
      <c r="K9" s="497">
        <f t="shared" si="1"/>
        <v>4014.7769735707202</v>
      </c>
      <c r="L9" s="497">
        <f t="shared" si="1"/>
        <v>4062.9542972535687</v>
      </c>
      <c r="M9" s="497">
        <f t="shared" si="1"/>
        <v>4111.7097488206118</v>
      </c>
      <c r="N9" s="497">
        <f t="shared" si="1"/>
        <v>4161.0502658064588</v>
      </c>
      <c r="O9" s="497">
        <f t="shared" si="1"/>
        <v>4210.9828689961359</v>
      </c>
      <c r="P9" s="497">
        <f t="shared" si="1"/>
        <v>4261.51466342409</v>
      </c>
      <c r="Q9" s="497">
        <f t="shared" si="1"/>
        <v>4312.6528393851795</v>
      </c>
      <c r="R9" s="497">
        <f t="shared" si="1"/>
        <v>4364.4046734578014</v>
      </c>
      <c r="S9" s="497">
        <f t="shared" si="1"/>
        <v>4416.7775295392948</v>
      </c>
      <c r="T9" s="497">
        <f t="shared" si="1"/>
        <v>4469.7788598937668</v>
      </c>
      <c r="U9" s="497">
        <f t="shared" si="1"/>
        <v>4523.4162062124924</v>
      </c>
      <c r="V9" s="497">
        <f>U9+U9*1.2%</f>
        <v>4577.6972006870419</v>
      </c>
      <c r="W9" s="497">
        <f t="shared" si="1"/>
        <v>4632.6295670952868</v>
      </c>
      <c r="X9" s="497">
        <f t="shared" si="1"/>
        <v>4688.2211219004303</v>
      </c>
    </row>
    <row r="12" spans="1:24">
      <c r="A12" s="1077" t="s">
        <v>355</v>
      </c>
      <c r="B12" s="1077"/>
      <c r="C12" s="1077"/>
      <c r="D12" s="1077"/>
      <c r="E12" s="1077"/>
    </row>
    <row r="13" spans="1:24">
      <c r="A13" s="83" t="s">
        <v>117</v>
      </c>
      <c r="B13" s="83" t="s">
        <v>197</v>
      </c>
      <c r="C13" s="84" t="s">
        <v>194</v>
      </c>
      <c r="D13" s="84" t="s">
        <v>195</v>
      </c>
      <c r="E13" s="83" t="s">
        <v>196</v>
      </c>
    </row>
    <row r="14" spans="1:24">
      <c r="A14" s="81">
        <v>1</v>
      </c>
      <c r="B14" s="498" t="s">
        <v>87</v>
      </c>
      <c r="C14" s="82">
        <v>137237</v>
      </c>
      <c r="D14" s="85">
        <v>350000</v>
      </c>
      <c r="E14" s="499">
        <f>D14*C14/10^7</f>
        <v>4803.2950000000001</v>
      </c>
    </row>
    <row r="15" spans="1:24">
      <c r="A15" s="86"/>
      <c r="B15" s="87" t="s">
        <v>193</v>
      </c>
      <c r="C15" s="88"/>
      <c r="D15" s="88"/>
      <c r="E15" s="500">
        <f>SUM(E14:E14)</f>
        <v>4803.2950000000001</v>
      </c>
    </row>
    <row r="16" spans="1:24">
      <c r="A16" s="1077" t="s">
        <v>356</v>
      </c>
      <c r="B16" s="1077"/>
      <c r="C16" s="1077"/>
      <c r="D16" s="1077"/>
      <c r="E16" s="1077"/>
    </row>
    <row r="17" spans="1:5">
      <c r="A17" s="83" t="s">
        <v>117</v>
      </c>
      <c r="B17" s="83" t="s">
        <v>197</v>
      </c>
      <c r="C17" s="84" t="s">
        <v>194</v>
      </c>
      <c r="D17" s="84" t="s">
        <v>195</v>
      </c>
      <c r="E17" s="83" t="s">
        <v>196</v>
      </c>
    </row>
    <row r="18" spans="1:5">
      <c r="A18" s="81">
        <v>1</v>
      </c>
      <c r="B18" s="498" t="s">
        <v>87</v>
      </c>
      <c r="C18" s="82">
        <f>'Financial Model Prop. Fur. Add.'!CM57</f>
        <v>74749.509166666656</v>
      </c>
      <c r="D18" s="85">
        <v>500000</v>
      </c>
      <c r="E18" s="499">
        <f>D18*C18/10^7</f>
        <v>3737.4754583333329</v>
      </c>
    </row>
    <row r="19" spans="1:5">
      <c r="A19" s="86"/>
      <c r="B19" s="87" t="s">
        <v>193</v>
      </c>
      <c r="C19" s="88"/>
      <c r="D19" s="88"/>
      <c r="E19" s="501">
        <f>SUM(E18:E18)</f>
        <v>3737.4754583333329</v>
      </c>
    </row>
  </sheetData>
  <mergeCells count="5">
    <mergeCell ref="A1:E1"/>
    <mergeCell ref="A6:E6"/>
    <mergeCell ref="A2:E2"/>
    <mergeCell ref="A12:E12"/>
    <mergeCell ref="A16:E16"/>
  </mergeCells>
  <pageMargins left="0.7" right="0.7" top="0.75" bottom="0.75" header="0.3" footer="0.3"/>
  <pageSetup scale="51"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325F-BCCC-47C6-8D18-0634DEA35A88}">
  <sheetPr codeName="Sheet9"/>
  <dimension ref="A1:XFD65"/>
  <sheetViews>
    <sheetView showGridLines="0" topLeftCell="B1" zoomScale="90" zoomScaleNormal="90" workbookViewId="0">
      <pane ySplit="8" topLeftCell="A24" activePane="bottomLeft" state="frozen"/>
      <selection activeCell="E28" sqref="E28"/>
      <selection pane="bottomLeft" activeCell="AG28" sqref="AG28"/>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6 16384:16384" ht="21" customHeight="1">
      <c r="A1" s="1079" t="str">
        <f>'Opex PVC'!A1</f>
        <v>Capacity for 350 KTPA PVC Plant using Captive Ethylene</v>
      </c>
      <c r="B1" s="1080"/>
      <c r="C1" s="1080"/>
      <c r="D1" s="1080"/>
      <c r="E1" s="1080"/>
      <c r="F1" s="1080"/>
      <c r="G1" s="620"/>
      <c r="H1" s="620"/>
      <c r="I1" s="620"/>
      <c r="J1" s="620"/>
      <c r="K1" s="620"/>
      <c r="L1" s="620"/>
      <c r="M1" s="620"/>
      <c r="N1" s="620"/>
      <c r="O1" s="620"/>
      <c r="P1" s="620"/>
      <c r="Q1" s="620"/>
      <c r="R1" s="620"/>
      <c r="S1" s="620"/>
      <c r="T1" s="620"/>
      <c r="U1" s="620"/>
      <c r="V1" s="620"/>
      <c r="W1" s="620"/>
      <c r="X1" s="620"/>
      <c r="Y1" s="620"/>
      <c r="Z1" s="620"/>
      <c r="XFD1" s="1">
        <v>2023</v>
      </c>
    </row>
    <row r="2" spans="1:26 16384:16384" s="167" customFormat="1" ht="15" customHeight="1">
      <c r="A2" s="1079" t="s">
        <v>440</v>
      </c>
      <c r="B2" s="108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c r="XFD2" s="1">
        <v>2024</v>
      </c>
    </row>
    <row r="3" spans="1:26 16384:16384" s="167" customFormat="1" ht="15" customHeight="1">
      <c r="A3" s="1088" t="s">
        <v>221</v>
      </c>
      <c r="B3" s="108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c r="XFD3" s="1">
        <v>2025</v>
      </c>
    </row>
    <row r="4" spans="1:26 16384:16384" ht="15" customHeight="1">
      <c r="A4" s="1086" t="s">
        <v>24</v>
      </c>
      <c r="B4" s="1087"/>
      <c r="C4" s="169"/>
      <c r="D4" s="169"/>
      <c r="E4" s="169"/>
      <c r="F4" s="169"/>
      <c r="G4" s="170"/>
      <c r="H4" s="1078" t="s">
        <v>25</v>
      </c>
      <c r="I4" s="1078"/>
      <c r="J4" s="1078"/>
      <c r="K4" s="1078"/>
      <c r="L4" s="1078"/>
      <c r="M4" s="1078"/>
      <c r="N4" s="1078"/>
      <c r="O4" s="1078"/>
      <c r="P4" s="1078"/>
      <c r="Q4" s="1078"/>
      <c r="R4" s="1078" t="s">
        <v>25</v>
      </c>
      <c r="S4" s="1078"/>
      <c r="T4" s="1078"/>
      <c r="U4" s="1078"/>
      <c r="V4" s="1078"/>
      <c r="W4" s="1078"/>
      <c r="X4" s="1078"/>
      <c r="Y4" s="1078"/>
      <c r="Z4" s="1078"/>
      <c r="XFD4" s="1">
        <v>2026</v>
      </c>
    </row>
    <row r="5" spans="1:26 16384:16384">
      <c r="A5" s="239"/>
      <c r="B5" s="1081"/>
      <c r="C5" s="534">
        <v>2023</v>
      </c>
      <c r="D5" s="884">
        <v>2024</v>
      </c>
      <c r="E5" s="884">
        <v>2025</v>
      </c>
      <c r="F5" s="884">
        <v>2026</v>
      </c>
      <c r="G5" s="884" t="s">
        <v>150</v>
      </c>
      <c r="H5" s="884">
        <v>2027</v>
      </c>
      <c r="I5" s="884">
        <v>2028</v>
      </c>
      <c r="J5" s="884">
        <v>2029</v>
      </c>
      <c r="K5" s="884">
        <v>2030</v>
      </c>
      <c r="L5" s="884">
        <v>2031</v>
      </c>
      <c r="M5" s="884">
        <v>2032</v>
      </c>
      <c r="N5" s="884">
        <v>2033</v>
      </c>
      <c r="O5" s="884">
        <v>2034</v>
      </c>
      <c r="P5" s="884">
        <v>2035</v>
      </c>
      <c r="Q5" s="884">
        <v>2036</v>
      </c>
      <c r="R5" s="884">
        <v>2037</v>
      </c>
      <c r="S5" s="884">
        <v>2038</v>
      </c>
      <c r="T5" s="884">
        <v>2039</v>
      </c>
      <c r="U5" s="884">
        <v>2040</v>
      </c>
      <c r="V5" s="884">
        <v>2041</v>
      </c>
      <c r="W5" s="884">
        <v>2042</v>
      </c>
      <c r="X5" s="884">
        <v>2043</v>
      </c>
      <c r="Y5" s="884">
        <v>2044</v>
      </c>
      <c r="Z5" s="885">
        <v>2045</v>
      </c>
      <c r="XFD5" s="1">
        <v>2027</v>
      </c>
    </row>
    <row r="6" spans="1:26 16384:16384">
      <c r="A6" s="240"/>
      <c r="B6" s="108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c r="XFD6" s="1">
        <v>2028</v>
      </c>
    </row>
    <row r="7" spans="1:26 16384:16384" ht="19.5" customHeight="1">
      <c r="A7" s="1084" t="s">
        <v>241</v>
      </c>
      <c r="B7" s="1085"/>
      <c r="C7" s="1085"/>
      <c r="D7" s="1085"/>
      <c r="E7" s="1085"/>
      <c r="F7" s="1085"/>
      <c r="G7" s="1085"/>
      <c r="H7" s="177"/>
      <c r="I7" s="177"/>
      <c r="J7" s="177"/>
      <c r="K7" s="177"/>
      <c r="L7" s="177"/>
      <c r="M7" s="177"/>
      <c r="N7" s="178"/>
      <c r="O7" s="177"/>
      <c r="P7" s="178"/>
      <c r="Q7" s="177"/>
      <c r="R7" s="179"/>
      <c r="S7" s="179"/>
      <c r="T7" s="179"/>
      <c r="U7" s="179"/>
      <c r="V7" s="179"/>
      <c r="W7" s="179"/>
      <c r="X7" s="179"/>
      <c r="Y7" s="179"/>
      <c r="Z7" s="179"/>
      <c r="XFD7" s="1">
        <v>2029</v>
      </c>
    </row>
    <row r="8" spans="1:26 16384:16384" ht="21.75" customHeight="1">
      <c r="A8" s="180">
        <v>1</v>
      </c>
      <c r="B8" s="181" t="s">
        <v>239</v>
      </c>
      <c r="C8" s="182">
        <f>ROUND($G8*C$6,2)</f>
        <v>207.97</v>
      </c>
      <c r="D8" s="182">
        <f>ROUND($G8*D$6,2)</f>
        <v>1039.8599999999999</v>
      </c>
      <c r="E8" s="182">
        <f>ROUND($G8*E$6,2)</f>
        <v>1455.81</v>
      </c>
      <c r="F8" s="182">
        <f>ROUND($G8*F$6,2)</f>
        <v>1455.81</v>
      </c>
      <c r="G8" s="244">
        <f>Capex!D21</f>
        <v>4159.4497678079997</v>
      </c>
      <c r="H8" s="183"/>
      <c r="I8" s="184"/>
      <c r="J8" s="183"/>
      <c r="K8" s="183"/>
      <c r="L8" s="183"/>
      <c r="M8" s="183"/>
      <c r="N8" s="185"/>
      <c r="O8" s="183"/>
      <c r="P8" s="183"/>
      <c r="Q8" s="183"/>
      <c r="R8" s="186"/>
      <c r="S8" s="186"/>
      <c r="T8" s="186"/>
      <c r="U8" s="186"/>
      <c r="V8" s="186"/>
      <c r="W8" s="186"/>
      <c r="X8" s="186"/>
      <c r="Y8" s="186"/>
      <c r="Z8" s="186"/>
      <c r="XFD8" s="1">
        <v>2030</v>
      </c>
    </row>
    <row r="9" spans="1:26 16384:16384" s="167" customFormat="1" ht="25.5" customHeight="1">
      <c r="A9" s="187"/>
      <c r="B9" s="188" t="s">
        <v>240</v>
      </c>
      <c r="C9" s="189">
        <f>SUM(C8:C8)</f>
        <v>207.97</v>
      </c>
      <c r="D9" s="189">
        <f>SUM(D8:D8)</f>
        <v>1039.8599999999999</v>
      </c>
      <c r="E9" s="189">
        <f>SUM(E8:E8)</f>
        <v>1455.81</v>
      </c>
      <c r="F9" s="189">
        <f>SUM(F8:F8)</f>
        <v>1455.81</v>
      </c>
      <c r="G9" s="190">
        <f>-G8</f>
        <v>-4159.4497678079997</v>
      </c>
      <c r="H9" s="191"/>
      <c r="I9" s="191"/>
      <c r="J9" s="191"/>
      <c r="K9" s="191"/>
      <c r="L9" s="191"/>
      <c r="M9" s="191"/>
      <c r="N9" s="192"/>
      <c r="O9" s="192"/>
      <c r="P9" s="192"/>
      <c r="Q9" s="192"/>
      <c r="R9" s="193"/>
      <c r="S9" s="193"/>
      <c r="T9" s="193"/>
      <c r="U9" s="193"/>
      <c r="V9" s="193"/>
      <c r="W9" s="193"/>
      <c r="X9" s="193"/>
      <c r="Y9" s="193"/>
      <c r="Z9" s="193"/>
      <c r="XFD9" s="1">
        <v>2031</v>
      </c>
    </row>
    <row r="10" spans="1:26 16384:16384">
      <c r="A10" s="194">
        <v>2</v>
      </c>
      <c r="B10" s="195" t="s">
        <v>27</v>
      </c>
      <c r="C10" s="195"/>
      <c r="D10" s="195"/>
      <c r="E10" s="195"/>
      <c r="F10" s="195"/>
      <c r="G10" s="196"/>
      <c r="H10" s="197">
        <f>H11</f>
        <v>1831.362974583333</v>
      </c>
      <c r="I10" s="197">
        <f t="shared" ref="I10:Z10" si="0">I11</f>
        <v>2490.0937716096746</v>
      </c>
      <c r="J10" s="197">
        <f t="shared" si="0"/>
        <v>2925.9708524756611</v>
      </c>
      <c r="K10" s="197">
        <f t="shared" si="0"/>
        <v>3094.3312153271104</v>
      </c>
      <c r="L10" s="197">
        <f t="shared" si="0"/>
        <v>3272.3790334570317</v>
      </c>
      <c r="M10" s="197">
        <f t="shared" si="0"/>
        <v>3460.6717230421491</v>
      </c>
      <c r="N10" s="197">
        <f t="shared" si="0"/>
        <v>3659.7987739859932</v>
      </c>
      <c r="O10" s="197">
        <f t="shared" si="0"/>
        <v>3870.3835954411475</v>
      </c>
      <c r="P10" s="197">
        <f t="shared" si="0"/>
        <v>4093.0854675228293</v>
      </c>
      <c r="Q10" s="197">
        <f t="shared" si="0"/>
        <v>4328.6016053240928</v>
      </c>
      <c r="R10" s="197">
        <f t="shared" si="0"/>
        <v>4577.6693416944408</v>
      </c>
      <c r="S10" s="197">
        <f t="shared" si="0"/>
        <v>4841.0684356155389</v>
      </c>
      <c r="T10" s="197">
        <f t="shared" si="0"/>
        <v>5119.6235134008557</v>
      </c>
      <c r="U10" s="197">
        <f t="shared" si="0"/>
        <v>5414.2066503619417</v>
      </c>
      <c r="V10" s="197">
        <f t="shared" si="0"/>
        <v>5725.7401010237663</v>
      </c>
      <c r="W10" s="197">
        <f t="shared" si="0"/>
        <v>6055.1991864366746</v>
      </c>
      <c r="X10" s="197">
        <f t="shared" si="0"/>
        <v>6403.615347624238</v>
      </c>
      <c r="Y10" s="197">
        <f t="shared" si="0"/>
        <v>6772.0793747265361</v>
      </c>
      <c r="Z10" s="197">
        <f t="shared" si="0"/>
        <v>7161.7448219482994</v>
      </c>
      <c r="XFD10" s="1">
        <v>2032</v>
      </c>
    </row>
    <row r="11" spans="1:26 16384:16384" s="167" customFormat="1">
      <c r="A11" s="52"/>
      <c r="B11" s="162" t="s">
        <v>87</v>
      </c>
      <c r="C11" s="162"/>
      <c r="D11" s="162"/>
      <c r="E11" s="162"/>
      <c r="F11" s="162"/>
      <c r="G11" s="198">
        <v>1</v>
      </c>
      <c r="H11" s="199">
        <f>IF(H$2&lt;=$C$46,0,Sales!E5*H$3*(1+$C$45)^(H$2-$C$46-1))</f>
        <v>1831.362974583333</v>
      </c>
      <c r="I11" s="199">
        <f>IF(I$2&lt;=$C$46,0,Sales!F5*I$3*(1+$C$45)^(I$2-$C$46-1))</f>
        <v>2490.0937716096746</v>
      </c>
      <c r="J11" s="199">
        <f>IF(J$2&lt;=$C$46,0,Sales!G5*J$3*(1+$C$45)^(J$2-$C$46-1))</f>
        <v>2925.9708524756611</v>
      </c>
      <c r="K11" s="199">
        <f>IF(K$2&lt;=$C$46,0,Sales!H5*K$3*(1+$C$45)^(K$2-$C$46-1))</f>
        <v>3094.3312153271104</v>
      </c>
      <c r="L11" s="199">
        <f>IF(L$2&lt;=$C$46,0,Sales!I5*L$3*(1+$C$45)^(L$2-$C$46-1))</f>
        <v>3272.3790334570317</v>
      </c>
      <c r="M11" s="199">
        <f>IF(M$2&lt;=$C$46,0,Sales!J5*M$3*(1+$C$45)^(M$2-$C$46-1))</f>
        <v>3460.6717230421491</v>
      </c>
      <c r="N11" s="199">
        <f>IF(N$2&lt;=$C$46,0,Sales!K5*N$3*(1+$C$45)^(N$2-$C$46-1))</f>
        <v>3659.7987739859932</v>
      </c>
      <c r="O11" s="199">
        <f>IF(O$2&lt;=$C$46,0,Sales!L5*O$3*(1+$C$45)^(O$2-$C$46-1))</f>
        <v>3870.3835954411475</v>
      </c>
      <c r="P11" s="199">
        <f>IF(P$2&lt;=$C$46,0,Sales!M5*P$3*(1+$C$45)^(P$2-$C$46-1))</f>
        <v>4093.0854675228293</v>
      </c>
      <c r="Q11" s="199">
        <f>IF(Q$2&lt;=$C$46,0,Sales!N5*Q$3*(1+$C$45)^(Q$2-$C$46-1))</f>
        <v>4328.6016053240928</v>
      </c>
      <c r="R11" s="199">
        <f>IF(R$2&lt;=$C$46,0,Sales!O5*R$3*(1+$C$45)^(R$2-$C$46-1))</f>
        <v>4577.6693416944408</v>
      </c>
      <c r="S11" s="199">
        <f>IF(S$2&lt;=$C$46,0,Sales!P5*S$3*(1+$C$45)^(S$2-$C$46-1))</f>
        <v>4841.0684356155389</v>
      </c>
      <c r="T11" s="199">
        <f>IF(T$2&lt;=$C$46,0,Sales!Q5*T$3*(1+$C$45)^(T$2-$C$46-1))</f>
        <v>5119.6235134008557</v>
      </c>
      <c r="U11" s="199">
        <f>IF(U$2&lt;=$C$46,0,Sales!R5*U$3*(1+$C$45)^(U$2-$C$46-1))</f>
        <v>5414.2066503619417</v>
      </c>
      <c r="V11" s="199">
        <f>IF(V$2&lt;=$C$46,0,Sales!S5*V$3*(1+$C$45)^(V$2-$C$46-1))</f>
        <v>5725.7401010237663</v>
      </c>
      <c r="W11" s="199">
        <f>IF(W$2&lt;=$C$46,0,Sales!T5*W$3*(1+$C$45)^(W$2-$C$46-1))</f>
        <v>6055.1991864366746</v>
      </c>
      <c r="X11" s="199">
        <f>IF(X$2&lt;=$C$46,0,Sales!U5*X$3*(1+$C$45)^(X$2-$C$46-1))</f>
        <v>6403.615347624238</v>
      </c>
      <c r="Y11" s="199">
        <f>IF(Y$2&lt;=$C$46,0,Sales!V5*Y$3*(1+$C$45)^(Y$2-$C$46-1))</f>
        <v>6772.0793747265361</v>
      </c>
      <c r="Z11" s="199">
        <f>IF(Z$2&lt;=$C$46,0,Sales!W5*Z$3*(1+$C$45)^(Z$2-$C$46-1))</f>
        <v>7161.7448219482994</v>
      </c>
      <c r="XFD11" s="1">
        <v>2033</v>
      </c>
    </row>
    <row r="12" spans="1:26 16384:16384">
      <c r="A12" s="52"/>
      <c r="B12" s="200"/>
      <c r="C12" s="200"/>
      <c r="D12" s="200"/>
      <c r="E12" s="200"/>
      <c r="F12" s="200"/>
      <c r="G12" s="201"/>
      <c r="H12" s="202"/>
      <c r="I12" s="202"/>
      <c r="J12" s="202"/>
      <c r="K12" s="202"/>
      <c r="L12" s="202"/>
      <c r="M12" s="202"/>
      <c r="N12" s="202"/>
      <c r="O12" s="202"/>
      <c r="P12" s="202"/>
      <c r="Q12" s="202"/>
      <c r="R12" s="202"/>
      <c r="S12" s="202"/>
      <c r="T12" s="202"/>
      <c r="U12" s="202"/>
      <c r="V12" s="202"/>
      <c r="W12" s="202"/>
      <c r="X12" s="202"/>
      <c r="Y12" s="202"/>
      <c r="Z12" s="202"/>
      <c r="XFD12" s="1">
        <v>2034</v>
      </c>
    </row>
    <row r="13" spans="1:26 16384:16384">
      <c r="A13" s="194">
        <v>3</v>
      </c>
      <c r="B13" s="195" t="s">
        <v>107</v>
      </c>
      <c r="C13" s="195"/>
      <c r="D13" s="195"/>
      <c r="E13" s="195"/>
      <c r="F13" s="195"/>
      <c r="G13" s="207"/>
      <c r="H13" s="183"/>
      <c r="I13" s="183"/>
      <c r="J13" s="183"/>
      <c r="K13" s="183"/>
      <c r="L13" s="183"/>
      <c r="M13" s="183"/>
      <c r="N13" s="183"/>
      <c r="O13" s="183"/>
      <c r="P13" s="183"/>
      <c r="Q13" s="183"/>
      <c r="R13" s="186"/>
      <c r="S13" s="186"/>
      <c r="T13" s="186"/>
      <c r="U13" s="186"/>
      <c r="V13" s="186"/>
      <c r="W13" s="186"/>
      <c r="X13" s="186"/>
      <c r="Y13" s="186"/>
      <c r="Z13" s="186"/>
      <c r="XFD13" s="1">
        <v>2035</v>
      </c>
    </row>
    <row r="14" spans="1:26 16384:16384">
      <c r="A14" s="52"/>
      <c r="B14" s="17" t="s">
        <v>28</v>
      </c>
      <c r="C14" s="17"/>
      <c r="D14" s="17"/>
      <c r="E14" s="17"/>
      <c r="F14" s="263"/>
      <c r="G14" s="208">
        <f t="shared" ref="G14:G19" si="1">J14/$J$20</f>
        <v>0.64472512854162922</v>
      </c>
      <c r="H14" s="199">
        <f>IF(H$2&lt;=$C$46,0,'Opex PVC'!E3*H$3*(1+$C$45)^(H$2-$C$46-1))</f>
        <v>538.74784014662771</v>
      </c>
      <c r="I14" s="199">
        <f>IF(I$2&lt;=$C$46,0,'Opex PVC'!F3*I$3*(1+$C$45)^(I$2-$C$46-1))</f>
        <v>734.05243671925689</v>
      </c>
      <c r="J14" s="199">
        <f>IF(J$2&lt;=$C$46,0,'Opex PVC'!G3*J$3*(1+$C$45)^(J$2-$C$46-1))</f>
        <v>865.44211359527367</v>
      </c>
      <c r="K14" s="199">
        <f>IF(K$2&lt;=$C$46,0,'Opex PVC'!H3*K$3*(1+$C$45)^(K$2-$C$46-1))</f>
        <v>917.68149773505479</v>
      </c>
      <c r="L14" s="199">
        <f>IF(L$2&lt;=$C$46,0,'Opex PVC'!I3*L$3*(1+$C$45)^(L$2-$C$46-1))</f>
        <v>970.5807888312429</v>
      </c>
      <c r="M14" s="199">
        <f>IF(M$2&lt;=$C$46,0,'Opex PVC'!J3*M$3*(1+$C$45)^(M$2-$C$46-1))</f>
        <v>1027.8479671146526</v>
      </c>
      <c r="N14" s="199">
        <f>IF(N$2&lt;=$C$46,0,'Opex PVC'!K3*N$3*(1+$C$45)^(N$2-$C$46-1))</f>
        <v>1088.171850380628</v>
      </c>
      <c r="O14" s="199">
        <f>IF(O$2&lt;=$C$46,0,'Opex PVC'!L3*O$3*(1+$C$45)^(O$2-$C$46-1))</f>
        <v>1152.4909680270009</v>
      </c>
      <c r="P14" s="199">
        <f>IF(P$2&lt;=$C$46,0,'Opex PVC'!M3*P$3*(1+$C$45)^(P$2-$C$46-1))</f>
        <v>1222.4183575120389</v>
      </c>
      <c r="Q14" s="199">
        <f>IF(Q$2&lt;=$C$46,0,'Opex PVC'!N3*Q$3*(1+$C$45)^(Q$2-$C$46-1))</f>
        <v>1290.7124263095213</v>
      </c>
      <c r="R14" s="199">
        <f>IF(R$2&lt;=$C$46,0,'Opex PVC'!O3*R$3*(1+$C$45)^(R$2-$C$46-1))</f>
        <v>1363.9009837309763</v>
      </c>
      <c r="S14" s="199">
        <f>IF(S$2&lt;=$C$46,0,'Opex PVC'!P3*S$3*(1+$C$45)^(S$2-$C$46-1))</f>
        <v>1441.6672080708572</v>
      </c>
      <c r="T14" s="199">
        <f>IF(T$2&lt;=$C$46,0,'Opex PVC'!Q3*T$3*(1+$C$45)^(T$2-$C$46-1))</f>
        <v>1522.360925874603</v>
      </c>
      <c r="U14" s="199">
        <f>IF(U$2&lt;=$C$46,0,'Opex PVC'!R3*U$3*(1+$C$45)^(U$2-$C$46-1))</f>
        <v>1607.2530993646114</v>
      </c>
      <c r="V14" s="199">
        <f>IF(V$2&lt;=$C$46,0,'Opex PVC'!S3*V$3*(1+$C$45)^(V$2-$C$46-1))</f>
        <v>1696.7111996221461</v>
      </c>
      <c r="W14" s="199">
        <f>IF(W$2&lt;=$C$46,0,'Opex PVC'!T3*W$3*(1+$C$45)^(W$2-$C$46-1))</f>
        <v>1793.4534304466019</v>
      </c>
      <c r="X14" s="199">
        <f>IF(X$2&lt;=$C$46,0,'Opex PVC'!U3*X$3*(1+$C$45)^(X$2-$C$46-1))</f>
        <v>1896.2739090675354</v>
      </c>
      <c r="Y14" s="199">
        <f>IF(Y$2&lt;=$C$46,0,'Opex PVC'!V3*Y$3*(1+$C$45)^(Y$2-$C$46-1))</f>
        <v>2006.3763129127692</v>
      </c>
      <c r="Z14" s="199">
        <f>IF(Z$2&lt;=$C$46,0,'Opex PVC'!W3*Z$3*(1+$C$45)^(Z$2-$C$46-1))</f>
        <v>2120.7748743342727</v>
      </c>
      <c r="XFD14" s="1">
        <v>2036</v>
      </c>
    </row>
    <row r="15" spans="1:26 16384:16384">
      <c r="A15" s="52"/>
      <c r="B15" s="17" t="s">
        <v>325</v>
      </c>
      <c r="C15" s="17"/>
      <c r="D15" s="17"/>
      <c r="E15" s="17"/>
      <c r="F15" s="17"/>
      <c r="G15" s="208">
        <f t="shared" si="1"/>
        <v>8.6007910943514593E-2</v>
      </c>
      <c r="H15" s="199">
        <f>IF(H$2&lt;=$C$46,0,'Opex PVC'!E8*H$3*(1+$C$45)^(H$2-$C$46-1))</f>
        <v>71.75</v>
      </c>
      <c r="I15" s="199">
        <f>IF(I$2&lt;=$C$46,0,'Opex PVC'!F8*I$3*(1+$C$45)^(I$2-$C$46-1))</f>
        <v>97.895469375000005</v>
      </c>
      <c r="J15" s="199">
        <f>IF(J$2&lt;=$C$46,0,'Opex PVC'!G8*J$3*(1+$C$45)^(J$2-$C$46-1))</f>
        <v>115.45209723908435</v>
      </c>
      <c r="K15" s="199">
        <f>IF(K$2&lt;=$C$46,0,'Opex PVC'!H8*K$3*(1+$C$45)^(K$2-$C$46-1))</f>
        <v>122.37270002993542</v>
      </c>
      <c r="L15" s="199">
        <f>IF(L$2&lt;=$C$46,0,'Opex PVC'!I8*L$3*(1+$C$45)^(L$2-$C$46-1))</f>
        <v>129.66978413272042</v>
      </c>
      <c r="M15" s="199">
        <f>IF(M$2&lt;=$C$46,0,'Opex PVC'!J8*M$3*(1+$C$45)^(M$2-$C$46-1))</f>
        <v>137.32069040590332</v>
      </c>
      <c r="N15" s="199">
        <f>IF(N$2&lt;=$C$46,0,'Opex PVC'!K8*N$3*(1+$C$45)^(N$2-$C$46-1))</f>
        <v>145.42302310192281</v>
      </c>
      <c r="O15" s="199">
        <f>IF(O$2&lt;=$C$46,0,'Opex PVC'!L8*O$3*(1+$C$45)^(O$2-$C$46-1))</f>
        <v>154.00341773400555</v>
      </c>
      <c r="P15" s="199">
        <f>IF(P$2&lt;=$C$46,0,'Opex PVC'!M8*P$3*(1+$C$45)^(P$2-$C$46-1))</f>
        <v>163.09008139056505</v>
      </c>
      <c r="Q15" s="199">
        <f>IF(Q$2&lt;=$C$46,0,'Opex PVC'!N8*Q$3*(1+$C$45)^(Q$2-$C$46-1))</f>
        <v>172.71288546285257</v>
      </c>
      <c r="R15" s="199">
        <f>IF(R$2&lt;=$C$46,0,'Opex PVC'!O8*R$3*(1+$C$45)^(R$2-$C$46-1))</f>
        <v>182.90346384381721</v>
      </c>
      <c r="S15" s="199">
        <f>IF(S$2&lt;=$C$46,0,'Opex PVC'!P8*S$3*(1+$C$45)^(S$2-$C$46-1))</f>
        <v>193.69531692099395</v>
      </c>
      <c r="T15" s="199">
        <f>IF(T$2&lt;=$C$46,0,'Opex PVC'!Q8*T$3*(1+$C$45)^(T$2-$C$46-1))</f>
        <v>205.12392170528332</v>
      </c>
      <c r="U15" s="199">
        <f>IF(U$2&lt;=$C$46,0,'Opex PVC'!R8*U$3*(1+$C$45)^(U$2-$C$46-1))</f>
        <v>217.22684845766017</v>
      </c>
      <c r="V15" s="199">
        <f>IF(V$2&lt;=$C$46,0,'Opex PVC'!S8*V$3*(1+$C$45)^(V$2-$C$46-1))</f>
        <v>230.04388419720743</v>
      </c>
      <c r="W15" s="199">
        <f>IF(W$2&lt;=$C$46,0,'Opex PVC'!T8*W$3*(1+$C$45)^(W$2-$C$46-1))</f>
        <v>243.61716349649529</v>
      </c>
      <c r="X15" s="199">
        <f>IF(X$2&lt;=$C$46,0,'Opex PVC'!U8*X$3*(1+$C$45)^(X$2-$C$46-1))</f>
        <v>257.99130699427889</v>
      </c>
      <c r="Y15" s="199">
        <f>IF(Y$2&lt;=$C$46,0,'Opex PVC'!V8*Y$3*(1+$C$45)^(Y$2-$C$46-1))</f>
        <v>273.21356808086233</v>
      </c>
      <c r="Z15" s="199">
        <f>IF(Z$2&lt;=$C$46,0,'Opex PVC'!W8*Z$3*(1+$C$45)^(Z$2-$C$46-1))</f>
        <v>289.33398823833738</v>
      </c>
      <c r="XFD15" s="1">
        <v>2037</v>
      </c>
    </row>
    <row r="16" spans="1:26 16384:16384">
      <c r="A16" s="52"/>
      <c r="B16" s="17" t="s">
        <v>29</v>
      </c>
      <c r="C16" s="17"/>
      <c r="D16" s="17"/>
      <c r="E16" s="17"/>
      <c r="F16" s="17"/>
      <c r="G16" s="208">
        <f t="shared" si="1"/>
        <v>2.1891869537537623E-2</v>
      </c>
      <c r="H16" s="199">
        <f>IF(H$2&lt;=$C$46,0,'Opex PVC'!$E$9*(1+$C$45)^(H$2-$C$46-1))</f>
        <v>26.91</v>
      </c>
      <c r="I16" s="199">
        <f>IF(I$2&lt;=$C$46,0,'Opex PVC'!$E$9*(1+$C$45)^(I$2-$C$46-1))</f>
        <v>28.120949999999997</v>
      </c>
      <c r="J16" s="199">
        <f>IF(J$2&lt;=$C$46,0,'Opex PVC'!$E$9*(1+$C$45)^(J$2-$C$46-1))</f>
        <v>29.386392749999995</v>
      </c>
      <c r="K16" s="199">
        <f>IF(K$2&lt;=$C$46,0,'Opex PVC'!$E$9*(1+$C$45)^(K$2-$C$46-1))</f>
        <v>30.708780423749996</v>
      </c>
      <c r="L16" s="199">
        <f>IF(L$2&lt;=$C$46,0,'Opex PVC'!$E$9*(1+$C$45)^(L$2-$C$46-1))</f>
        <v>32.090675542818737</v>
      </c>
      <c r="M16" s="199">
        <f>IF(M$2&lt;=$C$46,0,'Opex PVC'!$E$9*(1+$C$45)^(M$2-$C$46-1))</f>
        <v>33.534755942245582</v>
      </c>
      <c r="N16" s="199">
        <f>IF(N$2&lt;=$C$46,0,'Opex PVC'!$E$9*(1+$C$45)^(N$2-$C$46-1))</f>
        <v>35.043819959646619</v>
      </c>
      <c r="O16" s="199">
        <f>IF(O$2&lt;=$C$46,0,'Opex PVC'!$E$9*(1+$C$45)^(O$2-$C$46-1))</f>
        <v>36.620791857830724</v>
      </c>
      <c r="P16" s="199">
        <f>IF(P$2&lt;=$C$46,0,'Opex PVC'!$E$9*(1+$C$45)^(P$2-$C$46-1))</f>
        <v>38.26872749143309</v>
      </c>
      <c r="Q16" s="199">
        <f>IF(Q$2&lt;=$C$46,0,'Opex PVC'!$E$9*(1+$C$45)^(Q$2-$C$46-1))</f>
        <v>39.990820228547577</v>
      </c>
      <c r="R16" s="199">
        <f>IF(R$2&lt;=$C$46,0,'Opex PVC'!$E$9*(1+$C$45)^(R$2-$C$46-1))</f>
        <v>41.790407138832215</v>
      </c>
      <c r="S16" s="199">
        <f>IF(S$2&lt;=$C$46,0,'Opex PVC'!$E$9*(1+$C$45)^(S$2-$C$46-1))</f>
        <v>43.67097546007966</v>
      </c>
      <c r="T16" s="199">
        <f>IF(T$2&lt;=$C$46,0,'Opex PVC'!$E$9*(1+$C$45)^(T$2-$C$46-1))</f>
        <v>45.636169355783238</v>
      </c>
      <c r="U16" s="199">
        <f>IF(U$2&lt;=$C$46,0,'Opex PVC'!$E$9*(1+$C$45)^(U$2-$C$46-1))</f>
        <v>47.689796976793488</v>
      </c>
      <c r="V16" s="199">
        <f>IF(V$2&lt;=$C$46,0,'Opex PVC'!$E$9*(1+$C$45)^(V$2-$C$46-1))</f>
        <v>49.835837840749178</v>
      </c>
      <c r="W16" s="199">
        <f>IF(W$2&lt;=$C$46,0,'Opex PVC'!$E$9*(1+$C$45)^(W$2-$C$46-1))</f>
        <v>52.078450543582896</v>
      </c>
      <c r="X16" s="199">
        <f>IF(X$2&lt;=$C$46,0,'Opex PVC'!$E$9*(1+$C$45)^(X$2-$C$46-1))</f>
        <v>54.421980818044105</v>
      </c>
      <c r="Y16" s="199">
        <f>IF(Y$2&lt;=$C$46,0,'Opex PVC'!$E$9*(1+$C$45)^(Y$2-$C$46-1))</f>
        <v>56.870969954856093</v>
      </c>
      <c r="Z16" s="199">
        <f>IF(Z$2&lt;=$C$46,0,'Opex PVC'!$E$9*(1+$C$45)^(Z$2-$C$46-1))</f>
        <v>59.430163602824607</v>
      </c>
      <c r="XFD16" s="1">
        <v>2038</v>
      </c>
    </row>
    <row r="17" spans="1:26 16384:16384">
      <c r="A17" s="52"/>
      <c r="B17" s="17" t="s">
        <v>17</v>
      </c>
      <c r="C17" s="17"/>
      <c r="D17" s="17"/>
      <c r="E17" s="17"/>
      <c r="F17" s="17"/>
      <c r="G17" s="208">
        <f t="shared" si="1"/>
        <v>0.12788561468974041</v>
      </c>
      <c r="H17" s="199">
        <f>IF(H$2&lt;=$C$46,0,'Opex PVC'!$E$11*(1+$C$45)^(H$2-$C$46-1))</f>
        <v>157.19999999999999</v>
      </c>
      <c r="I17" s="199">
        <f>IF(I$2&lt;=$C$46,0,'Opex PVC'!$E$11*(1+$C$45)^(I$2-$C$46-1))</f>
        <v>164.27399999999997</v>
      </c>
      <c r="J17" s="199">
        <f>IF(J$2&lt;=$C$46,0,'Opex PVC'!$E$11*(1+$C$45)^(J$2-$C$46-1))</f>
        <v>171.66632999999996</v>
      </c>
      <c r="K17" s="199">
        <f>IF(K$2&lt;=$C$46,0,'Opex PVC'!$E$11*(1+$C$45)^(K$2-$C$46-1))</f>
        <v>179.39131484999996</v>
      </c>
      <c r="L17" s="199">
        <f>IF(L$2&lt;=$C$46,0,'Opex PVC'!$E$11*(1+$C$45)^(L$2-$C$46-1))</f>
        <v>187.46392401824991</v>
      </c>
      <c r="M17" s="199">
        <f>IF(M$2&lt;=$C$46,0,'Opex PVC'!$E$11*(1+$C$45)^(M$2-$C$46-1))</f>
        <v>195.89980059907114</v>
      </c>
      <c r="N17" s="199">
        <f>IF(N$2&lt;=$C$46,0,'Opex PVC'!$E$11*(1+$C$45)^(N$2-$C$46-1))</f>
        <v>204.71529162602931</v>
      </c>
      <c r="O17" s="199">
        <f>IF(O$2&lt;=$C$46,0,'Opex PVC'!$E$11*(1+$C$45)^(O$2-$C$46-1))</f>
        <v>213.92747974920064</v>
      </c>
      <c r="P17" s="199">
        <f>IF(P$2&lt;=$C$46,0,'Opex PVC'!$E$11*(1+$C$45)^(P$2-$C$46-1))</f>
        <v>223.5542163379146</v>
      </c>
      <c r="Q17" s="199">
        <f>IF(Q$2&lt;=$C$46,0,'Opex PVC'!$E$11*(1+$C$45)^(Q$2-$C$46-1))</f>
        <v>233.61415607312074</v>
      </c>
      <c r="R17" s="199">
        <f>IF(R$2&lt;=$C$46,0,'Opex PVC'!$E$11*(1+$C$45)^(R$2-$C$46-1))</f>
        <v>244.12679309641112</v>
      </c>
      <c r="S17" s="199">
        <f>IF(S$2&lt;=$C$46,0,'Opex PVC'!$E$11*(1+$C$45)^(S$2-$C$46-1))</f>
        <v>255.11249878574964</v>
      </c>
      <c r="T17" s="199">
        <f>IF(T$2&lt;=$C$46,0,'Opex PVC'!$E$11*(1+$C$45)^(T$2-$C$46-1))</f>
        <v>266.59256123110828</v>
      </c>
      <c r="U17" s="199">
        <f>IF(U$2&lt;=$C$46,0,'Opex PVC'!$E$11*(1+$C$45)^(U$2-$C$46-1))</f>
        <v>278.58922648650821</v>
      </c>
      <c r="V17" s="199">
        <f>IF(V$2&lt;=$C$46,0,'Opex PVC'!$E$11*(1+$C$45)^(V$2-$C$46-1))</f>
        <v>291.12574167840097</v>
      </c>
      <c r="W17" s="199">
        <f>IF(W$2&lt;=$C$46,0,'Opex PVC'!$E$11*(1+$C$45)^(W$2-$C$46-1))</f>
        <v>304.22640005392907</v>
      </c>
      <c r="X17" s="199">
        <f>IF(X$2&lt;=$C$46,0,'Opex PVC'!$E$11*(1+$C$45)^(X$2-$C$46-1))</f>
        <v>317.91658805635575</v>
      </c>
      <c r="Y17" s="199">
        <f>IF(Y$2&lt;=$C$46,0,'Opex PVC'!$E$11*(1+$C$45)^(Y$2-$C$46-1))</f>
        <v>332.22283451889177</v>
      </c>
      <c r="Z17" s="199">
        <f>IF(Z$2&lt;=$C$46,0,'Opex PVC'!$E$11*(1+$C$45)^(Z$2-$C$46-1))</f>
        <v>347.1728620722418</v>
      </c>
      <c r="XFD17" s="1">
        <v>2039</v>
      </c>
    </row>
    <row r="18" spans="1:26 16384:16384" s="167" customFormat="1">
      <c r="A18" s="52"/>
      <c r="B18" s="17" t="s">
        <v>20</v>
      </c>
      <c r="C18" s="17"/>
      <c r="D18" s="17"/>
      <c r="E18" s="17"/>
      <c r="F18" s="17"/>
      <c r="G18" s="208">
        <f t="shared" si="1"/>
        <v>5.62057093567052E-2</v>
      </c>
      <c r="H18" s="199">
        <f>IF(H$2&lt;=$C$46,0,'Opex PVC'!$E$14*(1+$C$45)^(H$2-$C$46-1))</f>
        <v>69.089377505903997</v>
      </c>
      <c r="I18" s="199">
        <f>IF(I$2&lt;=$C$46,0,'Opex PVC'!$E$14*(1+$C$45)^(I$2-$C$46-1))</f>
        <v>72.198399493669669</v>
      </c>
      <c r="J18" s="199">
        <f>IF(J$2&lt;=$C$46,0,'Opex PVC'!$E$14*(1+$C$45)^(J$2-$C$46-1))</f>
        <v>75.447327470884801</v>
      </c>
      <c r="K18" s="199">
        <f>IF(K$2&lt;=$C$46,0,'Opex PVC'!$E$14*(1+$C$45)^(K$2-$C$46-1))</f>
        <v>78.842457207074617</v>
      </c>
      <c r="L18" s="199">
        <f>IF(L$2&lt;=$C$46,0,'Opex PVC'!$E$14*(1+$C$45)^(L$2-$C$46-1))</f>
        <v>82.390367781392953</v>
      </c>
      <c r="M18" s="199">
        <f>IF(M$2&lt;=$C$46,0,'Opex PVC'!$E$14*(1+$C$45)^(M$2-$C$46-1))</f>
        <v>86.097934331555635</v>
      </c>
      <c r="N18" s="199">
        <f>IF(N$2&lt;=$C$46,0,'Opex PVC'!$E$14*(1+$C$45)^(N$2-$C$46-1))</f>
        <v>89.972341376475612</v>
      </c>
      <c r="O18" s="199">
        <f>IF(O$2&lt;=$C$46,0,'Opex PVC'!$E$14*(1+$C$45)^(O$2-$C$46-1))</f>
        <v>94.021096738417029</v>
      </c>
      <c r="P18" s="199">
        <f>IF(P$2&lt;=$C$46,0,'Opex PVC'!$E$14*(1+$C$45)^(P$2-$C$46-1))</f>
        <v>98.252046091645767</v>
      </c>
      <c r="Q18" s="199">
        <f>IF(Q$2&lt;=$C$46,0,'Opex PVC'!$E$14*(1+$C$45)^(Q$2-$C$46-1))</f>
        <v>102.67338816576981</v>
      </c>
      <c r="R18" s="199">
        <f>IF(R$2&lt;=$C$46,0,'Opex PVC'!$E$14*(1+$C$45)^(R$2-$C$46-1))</f>
        <v>107.29369063322943</v>
      </c>
      <c r="S18" s="199">
        <f>IF(S$2&lt;=$C$46,0,'Opex PVC'!$E$14*(1+$C$45)^(S$2-$C$46-1))</f>
        <v>112.12190671172476</v>
      </c>
      <c r="T18" s="199">
        <f>IF(T$2&lt;=$C$46,0,'Opex PVC'!$E$14*(1+$C$45)^(T$2-$C$46-1))</f>
        <v>117.16739251375235</v>
      </c>
      <c r="U18" s="199">
        <f>IF(U$2&lt;=$C$46,0,'Opex PVC'!$E$14*(1+$C$45)^(U$2-$C$46-1))</f>
        <v>122.43992517687121</v>
      </c>
      <c r="V18" s="199">
        <f>IF(V$2&lt;=$C$46,0,'Opex PVC'!$E$14*(1+$C$45)^(V$2-$C$46-1))</f>
        <v>127.94972180983038</v>
      </c>
      <c r="W18" s="199">
        <f>IF(W$2&lt;=$C$46,0,'Opex PVC'!$E$14*(1+$C$45)^(W$2-$C$46-1))</f>
        <v>133.70745929127276</v>
      </c>
      <c r="X18" s="199">
        <f>IF(X$2&lt;=$C$46,0,'Opex PVC'!$E$14*(1+$C$45)^(X$2-$C$46-1))</f>
        <v>139.72429495937999</v>
      </c>
      <c r="Y18" s="199">
        <f>IF(Y$2&lt;=$C$46,0,'Opex PVC'!$E$14*(1+$C$45)^(Y$2-$C$46-1))</f>
        <v>146.01188823255208</v>
      </c>
      <c r="Z18" s="199">
        <f>IF(Z$2&lt;=$C$46,0,'Opex PVC'!$E$14*(1+$C$45)^(Z$2-$C$46-1))</f>
        <v>152.5824232030169</v>
      </c>
      <c r="XFD18" s="1">
        <v>2040</v>
      </c>
    </row>
    <row r="19" spans="1:26 16384:16384">
      <c r="A19" s="52"/>
      <c r="B19" s="17" t="s">
        <v>21</v>
      </c>
      <c r="C19" s="17"/>
      <c r="D19" s="17"/>
      <c r="E19" s="17"/>
      <c r="F19" s="17"/>
      <c r="G19" s="208">
        <f t="shared" si="1"/>
        <v>6.3283766930873009E-2</v>
      </c>
      <c r="H19" s="199">
        <f>IF(H$2&lt;=$C$46,0,'Opex PVC'!$E$17*(1+$C$45)^(H$2-$C$46-1))</f>
        <v>77.789892050550776</v>
      </c>
      <c r="I19" s="199">
        <f>IF(I$2&lt;=$C$46,0,'Opex PVC'!$E$17*(1+$C$45)^(I$2-$C$46-1))</f>
        <v>81.29043719282555</v>
      </c>
      <c r="J19" s="199">
        <f>IF(J$2&lt;=$C$46,0,'Opex PVC'!$E$17*(1+$C$45)^(J$2-$C$46-1))</f>
        <v>84.948506866502697</v>
      </c>
      <c r="K19" s="199">
        <f>IF(K$2&lt;=$C$46,0,'Opex PVC'!$E$17*(1+$C$45)^(K$2-$C$46-1))</f>
        <v>88.771189675495322</v>
      </c>
      <c r="L19" s="199">
        <f>IF(L$2&lt;=$C$46,0,'Opex PVC'!$E$17*(1+$C$45)^(L$2-$C$46-1))</f>
        <v>92.765893210892585</v>
      </c>
      <c r="M19" s="199">
        <f>IF(M$2&lt;=$C$46,0,'Opex PVC'!$E$17*(1+$C$45)^(M$2-$C$46-1))</f>
        <v>96.940358405382753</v>
      </c>
      <c r="N19" s="199">
        <f>IF(N$2&lt;=$C$46,0,'Opex PVC'!$E$17*(1+$C$45)^(N$2-$C$46-1))</f>
        <v>101.30267453362495</v>
      </c>
      <c r="O19" s="199">
        <f>IF(O$2&lt;=$C$46,0,'Opex PVC'!$E$17*(1+$C$45)^(O$2-$C$46-1))</f>
        <v>105.86129488763808</v>
      </c>
      <c r="P19" s="199">
        <f>IF(P$2&lt;=$C$46,0,'Opex PVC'!$E$17*(1+$C$45)^(P$2-$C$46-1))</f>
        <v>110.62505315758176</v>
      </c>
      <c r="Q19" s="199">
        <f>IF(Q$2&lt;=$C$46,0,'Opex PVC'!$E$17*(1+$C$45)^(Q$2-$C$46-1))</f>
        <v>115.60318054967293</v>
      </c>
      <c r="R19" s="199">
        <f>IF(R$2&lt;=$C$46,0,'Opex PVC'!$E$17*(1+$C$45)^(R$2-$C$46-1))</f>
        <v>120.80532367440819</v>
      </c>
      <c r="S19" s="199">
        <f>IF(S$2&lt;=$C$46,0,'Opex PVC'!$E$17*(1+$C$45)^(S$2-$C$46-1))</f>
        <v>126.24156323975656</v>
      </c>
      <c r="T19" s="199">
        <f>IF(T$2&lt;=$C$46,0,'Opex PVC'!$E$17*(1+$C$45)^(T$2-$C$46-1))</f>
        <v>131.92243358554558</v>
      </c>
      <c r="U19" s="199">
        <f>IF(U$2&lt;=$C$46,0,'Opex PVC'!$E$17*(1+$C$45)^(U$2-$C$46-1))</f>
        <v>137.85894309689513</v>
      </c>
      <c r="V19" s="199">
        <f>IF(V$2&lt;=$C$46,0,'Opex PVC'!$E$17*(1+$C$45)^(V$2-$C$46-1))</f>
        <v>144.06259553625537</v>
      </c>
      <c r="W19" s="199">
        <f>IF(W$2&lt;=$C$46,0,'Opex PVC'!$E$17*(1+$C$45)^(W$2-$C$46-1))</f>
        <v>150.54541233538689</v>
      </c>
      <c r="X19" s="199">
        <f>IF(X$2&lt;=$C$46,0,'Opex PVC'!$E$17*(1+$C$45)^(X$2-$C$46-1))</f>
        <v>157.31995589047924</v>
      </c>
      <c r="Y19" s="199">
        <f>IF(Y$2&lt;=$C$46,0,'Opex PVC'!$E$17*(1+$C$45)^(Y$2-$C$46-1))</f>
        <v>164.39935390555081</v>
      </c>
      <c r="Z19" s="199">
        <f>IF(Z$2&lt;=$C$46,0,'Opex PVC'!$E$17*(1+$C$45)^(Z$2-$C$46-1))</f>
        <v>171.79732483130056</v>
      </c>
      <c r="XFD19" s="1">
        <v>2041</v>
      </c>
    </row>
    <row r="20" spans="1:26 16384:16384" s="167" customFormat="1">
      <c r="A20" s="187"/>
      <c r="B20" s="209" t="s">
        <v>30</v>
      </c>
      <c r="C20" s="209"/>
      <c r="D20" s="209"/>
      <c r="E20" s="209"/>
      <c r="F20" s="209"/>
      <c r="G20" s="210"/>
      <c r="H20" s="192">
        <f t="shared" ref="H20:Q20" si="2">SUM(H14:H19)</f>
        <v>941.48710970308241</v>
      </c>
      <c r="I20" s="192">
        <f t="shared" si="2"/>
        <v>1177.8316927807521</v>
      </c>
      <c r="J20" s="192">
        <f t="shared" si="2"/>
        <v>1342.3427679217455</v>
      </c>
      <c r="K20" s="192">
        <f t="shared" si="2"/>
        <v>1417.76793992131</v>
      </c>
      <c r="L20" s="192">
        <f t="shared" si="2"/>
        <v>1494.9614335173173</v>
      </c>
      <c r="M20" s="192">
        <f t="shared" si="2"/>
        <v>1577.6415067988112</v>
      </c>
      <c r="N20" s="192">
        <f t="shared" si="2"/>
        <v>1664.6290009783274</v>
      </c>
      <c r="O20" s="192">
        <f t="shared" si="2"/>
        <v>1756.925048994093</v>
      </c>
      <c r="P20" s="192">
        <f t="shared" si="2"/>
        <v>1856.2084819811791</v>
      </c>
      <c r="Q20" s="192">
        <f t="shared" si="2"/>
        <v>1955.306856789485</v>
      </c>
      <c r="R20" s="192">
        <f t="shared" ref="R20:Z20" si="3">SUM(R14:R19)</f>
        <v>2060.8206621176746</v>
      </c>
      <c r="S20" s="192">
        <f t="shared" si="3"/>
        <v>2172.5094691891618</v>
      </c>
      <c r="T20" s="192">
        <f t="shared" si="3"/>
        <v>2288.8034042660756</v>
      </c>
      <c r="U20" s="192">
        <f t="shared" si="3"/>
        <v>2411.0578395593398</v>
      </c>
      <c r="V20" s="192">
        <f t="shared" si="3"/>
        <v>2539.7289806845893</v>
      </c>
      <c r="W20" s="192">
        <f t="shared" si="3"/>
        <v>2677.6283161672686</v>
      </c>
      <c r="X20" s="192">
        <f t="shared" si="3"/>
        <v>2823.6480357860742</v>
      </c>
      <c r="Y20" s="192">
        <f t="shared" si="3"/>
        <v>2979.0949276054826</v>
      </c>
      <c r="Z20" s="192">
        <f t="shared" si="3"/>
        <v>3141.0916362819939</v>
      </c>
      <c r="XFD20" s="1">
        <v>2042</v>
      </c>
    </row>
    <row r="21" spans="1:26 16384:16384">
      <c r="A21" s="52"/>
      <c r="B21" s="17"/>
      <c r="C21" s="17"/>
      <c r="D21" s="17"/>
      <c r="E21" s="17"/>
      <c r="F21" s="17"/>
      <c r="G21" s="201"/>
      <c r="H21" s="199"/>
      <c r="I21" s="199"/>
      <c r="J21" s="199"/>
      <c r="K21" s="199"/>
      <c r="L21" s="199"/>
      <c r="M21" s="199"/>
      <c r="N21" s="199"/>
      <c r="O21" s="199"/>
      <c r="P21" s="199"/>
      <c r="Q21" s="199"/>
      <c r="XFD21" s="1">
        <v>2043</v>
      </c>
    </row>
    <row r="22" spans="1:26 16384:16384">
      <c r="A22" s="203">
        <v>4</v>
      </c>
      <c r="B22" s="204" t="s">
        <v>392</v>
      </c>
      <c r="C22" s="204"/>
      <c r="D22" s="204"/>
      <c r="E22" s="204"/>
      <c r="F22" s="204"/>
      <c r="G22" s="205"/>
      <c r="H22" s="206">
        <f t="shared" ref="H22:Z22" si="4">H10-H20</f>
        <v>889.87586488025056</v>
      </c>
      <c r="I22" s="206">
        <f t="shared" si="4"/>
        <v>1312.2620788289225</v>
      </c>
      <c r="J22" s="206">
        <f t="shared" si="4"/>
        <v>1583.6280845539156</v>
      </c>
      <c r="K22" s="206">
        <f t="shared" si="4"/>
        <v>1676.5632754058004</v>
      </c>
      <c r="L22" s="206">
        <f t="shared" si="4"/>
        <v>1777.4175999397144</v>
      </c>
      <c r="M22" s="206">
        <f t="shared" si="4"/>
        <v>1883.0302162433379</v>
      </c>
      <c r="N22" s="206">
        <f t="shared" si="4"/>
        <v>1995.1697730076658</v>
      </c>
      <c r="O22" s="206">
        <f t="shared" si="4"/>
        <v>2113.4585464470547</v>
      </c>
      <c r="P22" s="206">
        <f t="shared" si="4"/>
        <v>2236.8769855416504</v>
      </c>
      <c r="Q22" s="206">
        <f t="shared" si="4"/>
        <v>2373.2947485346076</v>
      </c>
      <c r="R22" s="206">
        <f t="shared" si="4"/>
        <v>2516.8486795767662</v>
      </c>
      <c r="S22" s="206">
        <f t="shared" si="4"/>
        <v>2668.5589664263771</v>
      </c>
      <c r="T22" s="206">
        <f t="shared" si="4"/>
        <v>2830.8201091347801</v>
      </c>
      <c r="U22" s="206">
        <f t="shared" si="4"/>
        <v>3003.1488108026019</v>
      </c>
      <c r="V22" s="206">
        <f t="shared" si="4"/>
        <v>3186.0111203391771</v>
      </c>
      <c r="W22" s="206">
        <f t="shared" si="4"/>
        <v>3377.570870269406</v>
      </c>
      <c r="X22" s="206">
        <f t="shared" si="4"/>
        <v>3579.9673118381638</v>
      </c>
      <c r="Y22" s="206">
        <f t="shared" si="4"/>
        <v>3792.9844471210536</v>
      </c>
      <c r="Z22" s="206">
        <f t="shared" si="4"/>
        <v>4020.6531856663055</v>
      </c>
      <c r="XFD22" s="1">
        <v>2044</v>
      </c>
    </row>
    <row r="23" spans="1:26 16384:16384">
      <c r="A23" s="52"/>
      <c r="B23" s="17" t="s">
        <v>388</v>
      </c>
      <c r="C23" s="17"/>
      <c r="D23" s="17"/>
      <c r="E23" s="17"/>
      <c r="F23" s="17"/>
      <c r="G23" s="201"/>
      <c r="H23" s="262">
        <f t="shared" ref="H23:Z23" si="5">H22/H10</f>
        <v>0.48590906184652599</v>
      </c>
      <c r="I23" s="262">
        <f t="shared" si="5"/>
        <v>0.52699303688496646</v>
      </c>
      <c r="J23" s="262">
        <f t="shared" si="5"/>
        <v>0.54123166784590815</v>
      </c>
      <c r="K23" s="262">
        <f t="shared" si="5"/>
        <v>0.54181765258395786</v>
      </c>
      <c r="L23" s="262">
        <f t="shared" si="5"/>
        <v>0.54315761767425863</v>
      </c>
      <c r="M23" s="262">
        <f t="shared" si="5"/>
        <v>0.54412275042026681</v>
      </c>
      <c r="N23" s="262">
        <f t="shared" si="5"/>
        <v>0.5451583259684708</v>
      </c>
      <c r="O23" s="262">
        <f t="shared" si="5"/>
        <v>0.54605919396115099</v>
      </c>
      <c r="P23" s="262">
        <f t="shared" si="5"/>
        <v>0.54650141153671727</v>
      </c>
      <c r="Q23" s="262">
        <f t="shared" si="5"/>
        <v>0.54828209313961873</v>
      </c>
      <c r="R23" s="262">
        <f t="shared" si="5"/>
        <v>0.54981006527770426</v>
      </c>
      <c r="S23" s="262">
        <f t="shared" si="5"/>
        <v>0.55123347292384872</v>
      </c>
      <c r="T23" s="262">
        <f t="shared" si="5"/>
        <v>0.55293521129531797</v>
      </c>
      <c r="U23" s="262">
        <f t="shared" si="5"/>
        <v>0.55467938420892016</v>
      </c>
      <c r="V23" s="262">
        <f t="shared" si="5"/>
        <v>0.55643655913923096</v>
      </c>
      <c r="W23" s="262">
        <f t="shared" si="5"/>
        <v>0.55779682323828184</v>
      </c>
      <c r="X23" s="262">
        <f t="shared" si="5"/>
        <v>0.55905408390376587</v>
      </c>
      <c r="Y23" s="262">
        <f t="shared" si="5"/>
        <v>0.56009155197981098</v>
      </c>
      <c r="Z23" s="262">
        <f t="shared" si="5"/>
        <v>0.56140693163827593</v>
      </c>
      <c r="XFD23" s="1">
        <v>2045</v>
      </c>
    </row>
    <row r="24" spans="1:26 16384:16384">
      <c r="A24" s="52"/>
      <c r="B24" s="17" t="s">
        <v>387</v>
      </c>
      <c r="C24" s="17"/>
      <c r="D24" s="17"/>
      <c r="E24" s="17"/>
      <c r="F24" s="17"/>
      <c r="G24" s="201"/>
      <c r="H24" s="264">
        <f t="shared" ref="H24:Z24" si="6">H22/(H3*350000)*10^7</f>
        <v>36321.463872663291</v>
      </c>
      <c r="I24" s="264">
        <f t="shared" si="6"/>
        <v>41659.113613616588</v>
      </c>
      <c r="J24" s="264">
        <f t="shared" si="6"/>
        <v>45246.516701540444</v>
      </c>
      <c r="K24" s="264">
        <f t="shared" si="6"/>
        <v>47901.807868737153</v>
      </c>
      <c r="L24" s="264">
        <f t="shared" si="6"/>
        <v>50783.359998277549</v>
      </c>
      <c r="M24" s="264">
        <f t="shared" si="6"/>
        <v>53800.863321238226</v>
      </c>
      <c r="N24" s="264">
        <f t="shared" si="6"/>
        <v>57004.85065736188</v>
      </c>
      <c r="O24" s="264">
        <f t="shared" si="6"/>
        <v>60384.529898487279</v>
      </c>
      <c r="P24" s="264">
        <f t="shared" si="6"/>
        <v>63910.77101547573</v>
      </c>
      <c r="Q24" s="264">
        <f t="shared" si="6"/>
        <v>67808.421386703078</v>
      </c>
      <c r="R24" s="264">
        <f t="shared" si="6"/>
        <v>71909.962273621903</v>
      </c>
      <c r="S24" s="264">
        <f t="shared" si="6"/>
        <v>76244.541897896488</v>
      </c>
      <c r="T24" s="264">
        <f t="shared" si="6"/>
        <v>80880.574546707998</v>
      </c>
      <c r="U24" s="264">
        <f t="shared" si="6"/>
        <v>85804.251737217201</v>
      </c>
      <c r="V24" s="264">
        <f t="shared" si="6"/>
        <v>91028.889152547927</v>
      </c>
      <c r="W24" s="264">
        <f t="shared" si="6"/>
        <v>96502.024864840161</v>
      </c>
      <c r="X24" s="264">
        <f t="shared" si="6"/>
        <v>102284.78033823325</v>
      </c>
      <c r="Y24" s="264">
        <f t="shared" si="6"/>
        <v>108370.98420345868</v>
      </c>
      <c r="Z24" s="264">
        <f t="shared" si="6"/>
        <v>114875.80530475159</v>
      </c>
    </row>
    <row r="25" spans="1:26 16384:16384">
      <c r="A25" s="194"/>
      <c r="B25" s="195" t="s">
        <v>32</v>
      </c>
      <c r="C25" s="182">
        <f>-C8</f>
        <v>-207.97</v>
      </c>
      <c r="D25" s="182">
        <f>-D8</f>
        <v>-1039.8599999999999</v>
      </c>
      <c r="E25" s="182">
        <f>-E8</f>
        <v>-1455.81</v>
      </c>
      <c r="F25" s="182">
        <f>-F8</f>
        <v>-1455.81</v>
      </c>
      <c r="G25" s="196"/>
      <c r="H25" s="197">
        <f>H22+SUM(C25:F25)</f>
        <v>-3269.5741351197494</v>
      </c>
      <c r="I25" s="197">
        <f t="shared" ref="I25:Z25" si="7">I22</f>
        <v>1312.2620788289225</v>
      </c>
      <c r="J25" s="197">
        <f t="shared" si="7"/>
        <v>1583.6280845539156</v>
      </c>
      <c r="K25" s="197">
        <f t="shared" si="7"/>
        <v>1676.5632754058004</v>
      </c>
      <c r="L25" s="197">
        <f t="shared" si="7"/>
        <v>1777.4175999397144</v>
      </c>
      <c r="M25" s="197">
        <f t="shared" si="7"/>
        <v>1883.0302162433379</v>
      </c>
      <c r="N25" s="197">
        <f t="shared" si="7"/>
        <v>1995.1697730076658</v>
      </c>
      <c r="O25" s="197">
        <f t="shared" si="7"/>
        <v>2113.4585464470547</v>
      </c>
      <c r="P25" s="197">
        <f t="shared" si="7"/>
        <v>2236.8769855416504</v>
      </c>
      <c r="Q25" s="197">
        <f t="shared" si="7"/>
        <v>2373.2947485346076</v>
      </c>
      <c r="R25" s="197">
        <f t="shared" si="7"/>
        <v>2516.8486795767662</v>
      </c>
      <c r="S25" s="197">
        <f t="shared" si="7"/>
        <v>2668.5589664263771</v>
      </c>
      <c r="T25" s="197">
        <f t="shared" si="7"/>
        <v>2830.8201091347801</v>
      </c>
      <c r="U25" s="197">
        <f t="shared" si="7"/>
        <v>3003.1488108026019</v>
      </c>
      <c r="V25" s="197">
        <f t="shared" si="7"/>
        <v>3186.0111203391771</v>
      </c>
      <c r="W25" s="197">
        <f t="shared" si="7"/>
        <v>3377.570870269406</v>
      </c>
      <c r="X25" s="197">
        <f t="shared" si="7"/>
        <v>3579.9673118381638</v>
      </c>
      <c r="Y25" s="197">
        <f t="shared" si="7"/>
        <v>3792.9844471210536</v>
      </c>
      <c r="Z25" s="197">
        <f t="shared" si="7"/>
        <v>4020.6531856663055</v>
      </c>
    </row>
    <row r="26" spans="1:26 16384:16384">
      <c r="A26" s="52"/>
      <c r="B26" s="17"/>
      <c r="C26" s="17"/>
      <c r="D26" s="17"/>
      <c r="E26" s="17"/>
      <c r="F26" s="17"/>
      <c r="G26" s="201"/>
      <c r="H26" s="199"/>
      <c r="I26" s="199"/>
      <c r="J26" s="199"/>
      <c r="K26" s="199"/>
      <c r="L26" s="199"/>
      <c r="M26" s="199"/>
      <c r="N26" s="199"/>
      <c r="O26" s="199"/>
      <c r="P26" s="199"/>
      <c r="Q26" s="199"/>
      <c r="R26" s="199"/>
      <c r="S26" s="199"/>
      <c r="T26" s="199"/>
      <c r="U26" s="199"/>
      <c r="V26" s="199"/>
      <c r="W26" s="199"/>
      <c r="X26" s="199"/>
      <c r="Y26" s="199"/>
      <c r="Z26" s="199"/>
    </row>
    <row r="27" spans="1:26 16384:16384">
      <c r="A27" s="52"/>
      <c r="B27" s="17" t="s">
        <v>33</v>
      </c>
      <c r="C27" s="17"/>
      <c r="D27" s="17"/>
      <c r="E27" s="17"/>
      <c r="F27" s="17"/>
      <c r="G27" s="201">
        <v>1</v>
      </c>
      <c r="H27" s="199">
        <f>G27/(1+0.1)</f>
        <v>0.90909090909090906</v>
      </c>
      <c r="I27" s="199">
        <f>H27/(1+0.1)</f>
        <v>0.82644628099173545</v>
      </c>
      <c r="J27" s="199">
        <f t="shared" ref="J27:Z27" si="8">I27/(1+0.1)</f>
        <v>0.75131480090157765</v>
      </c>
      <c r="K27" s="199">
        <f t="shared" si="8"/>
        <v>0.68301345536507052</v>
      </c>
      <c r="L27" s="199">
        <f t="shared" si="8"/>
        <v>0.62092132305915493</v>
      </c>
      <c r="M27" s="199">
        <f t="shared" si="8"/>
        <v>0.56447393005377711</v>
      </c>
      <c r="N27" s="199">
        <f t="shared" si="8"/>
        <v>0.51315811823070645</v>
      </c>
      <c r="O27" s="199">
        <f t="shared" si="8"/>
        <v>0.46650738020973309</v>
      </c>
      <c r="P27" s="199">
        <f t="shared" si="8"/>
        <v>0.42409761837248461</v>
      </c>
      <c r="Q27" s="199">
        <f t="shared" si="8"/>
        <v>0.38554328942953142</v>
      </c>
      <c r="R27" s="199">
        <f t="shared" si="8"/>
        <v>0.35049389948139215</v>
      </c>
      <c r="S27" s="199">
        <f t="shared" si="8"/>
        <v>0.31863081771035645</v>
      </c>
      <c r="T27" s="199">
        <f t="shared" si="8"/>
        <v>0.28966437973668768</v>
      </c>
      <c r="U27" s="199">
        <f t="shared" si="8"/>
        <v>0.26333125430607968</v>
      </c>
      <c r="V27" s="199">
        <f t="shared" si="8"/>
        <v>0.23939204936916333</v>
      </c>
      <c r="W27" s="199">
        <f t="shared" si="8"/>
        <v>0.21762913579014848</v>
      </c>
      <c r="X27" s="199">
        <f t="shared" si="8"/>
        <v>0.19784466890013497</v>
      </c>
      <c r="Y27" s="199">
        <f t="shared" si="8"/>
        <v>0.17985878990921358</v>
      </c>
      <c r="Z27" s="199">
        <f t="shared" si="8"/>
        <v>0.16350799082655779</v>
      </c>
    </row>
    <row r="28" spans="1:26 16384:16384">
      <c r="A28" s="52"/>
      <c r="B28" s="17" t="s">
        <v>34</v>
      </c>
      <c r="C28" s="182"/>
      <c r="D28" s="182"/>
      <c r="E28" s="182"/>
      <c r="F28" s="182"/>
      <c r="G28" s="211"/>
      <c r="H28" s="202">
        <f>H25*H27</f>
        <v>-2972.3401228361358</v>
      </c>
      <c r="I28" s="202">
        <f t="shared" ref="I28:Z28" si="9">I25*I27</f>
        <v>1084.5141147346467</v>
      </c>
      <c r="J28" s="202">
        <f t="shared" si="9"/>
        <v>1189.803219048772</v>
      </c>
      <c r="K28" s="202">
        <f t="shared" si="9"/>
        <v>1145.1152758730962</v>
      </c>
      <c r="L28" s="202">
        <f t="shared" si="9"/>
        <v>1103.6364877831952</v>
      </c>
      <c r="M28" s="202">
        <f t="shared" si="9"/>
        <v>1062.9214665728907</v>
      </c>
      <c r="N28" s="202">
        <f t="shared" si="9"/>
        <v>1023.8375662673994</v>
      </c>
      <c r="O28" s="202">
        <f t="shared" si="9"/>
        <v>985.94400968488594</v>
      </c>
      <c r="P28" s="202">
        <f t="shared" si="9"/>
        <v>948.65420216043663</v>
      </c>
      <c r="Q28" s="202">
        <f t="shared" si="9"/>
        <v>915.00786413586525</v>
      </c>
      <c r="R28" s="202">
        <f t="shared" si="9"/>
        <v>882.14010810945365</v>
      </c>
      <c r="S28" s="202">
        <f t="shared" si="9"/>
        <v>850.28512558074021</v>
      </c>
      <c r="T28" s="202">
        <f t="shared" si="9"/>
        <v>819.98775105866855</v>
      </c>
      <c r="U28" s="202">
        <f t="shared" si="9"/>
        <v>790.82294321646077</v>
      </c>
      <c r="V28" s="202">
        <f t="shared" si="9"/>
        <v>762.70573141093962</v>
      </c>
      <c r="W28" s="202">
        <f t="shared" si="9"/>
        <v>735.05782956671055</v>
      </c>
      <c r="X28" s="202">
        <f t="shared" si="9"/>
        <v>708.27744748392774</v>
      </c>
      <c r="Y28" s="202">
        <f t="shared" si="9"/>
        <v>682.20159280366022</v>
      </c>
      <c r="Z28" s="202">
        <f t="shared" si="9"/>
        <v>657.40892419869658</v>
      </c>
    </row>
    <row r="29" spans="1:26 16384:16384">
      <c r="A29" s="52"/>
      <c r="B29" s="17" t="s">
        <v>35</v>
      </c>
      <c r="C29" s="17"/>
      <c r="D29" s="17"/>
      <c r="E29" s="17"/>
      <c r="F29" s="17"/>
      <c r="G29" s="211"/>
      <c r="H29" s="202">
        <f>H25</f>
        <v>-3269.5741351197494</v>
      </c>
      <c r="I29" s="202">
        <f t="shared" ref="I29:Z29" si="10">I25</f>
        <v>1312.2620788289225</v>
      </c>
      <c r="J29" s="202">
        <f t="shared" si="10"/>
        <v>1583.6280845539156</v>
      </c>
      <c r="K29" s="202">
        <f t="shared" si="10"/>
        <v>1676.5632754058004</v>
      </c>
      <c r="L29" s="202">
        <f t="shared" si="10"/>
        <v>1777.4175999397144</v>
      </c>
      <c r="M29" s="202">
        <f t="shared" si="10"/>
        <v>1883.0302162433379</v>
      </c>
      <c r="N29" s="202">
        <f t="shared" si="10"/>
        <v>1995.1697730076658</v>
      </c>
      <c r="O29" s="202">
        <f t="shared" si="10"/>
        <v>2113.4585464470547</v>
      </c>
      <c r="P29" s="202">
        <f t="shared" si="10"/>
        <v>2236.8769855416504</v>
      </c>
      <c r="Q29" s="202">
        <f t="shared" si="10"/>
        <v>2373.2947485346076</v>
      </c>
      <c r="R29" s="202">
        <f t="shared" si="10"/>
        <v>2516.8486795767662</v>
      </c>
      <c r="S29" s="202">
        <f t="shared" si="10"/>
        <v>2668.5589664263771</v>
      </c>
      <c r="T29" s="202">
        <f t="shared" si="10"/>
        <v>2830.8201091347801</v>
      </c>
      <c r="U29" s="202">
        <f t="shared" si="10"/>
        <v>3003.1488108026019</v>
      </c>
      <c r="V29" s="202">
        <f t="shared" si="10"/>
        <v>3186.0111203391771</v>
      </c>
      <c r="W29" s="202">
        <f t="shared" si="10"/>
        <v>3377.570870269406</v>
      </c>
      <c r="X29" s="202">
        <f t="shared" si="10"/>
        <v>3579.9673118381638</v>
      </c>
      <c r="Y29" s="202">
        <f t="shared" si="10"/>
        <v>3792.9844471210536</v>
      </c>
      <c r="Z29" s="202">
        <f t="shared" si="10"/>
        <v>4020.6531856663055</v>
      </c>
    </row>
    <row r="30" spans="1:26 16384:16384">
      <c r="A30" s="53"/>
      <c r="B30" s="55" t="s">
        <v>443</v>
      </c>
      <c r="C30" s="55"/>
      <c r="D30" s="55"/>
      <c r="E30" s="55"/>
      <c r="F30" s="55"/>
      <c r="G30" s="212"/>
      <c r="H30" s="213">
        <f>H25</f>
        <v>-3269.5741351197494</v>
      </c>
      <c r="I30" s="213">
        <f>H30+I25</f>
        <v>-1957.3120562908268</v>
      </c>
      <c r="J30" s="213">
        <f t="shared" ref="J30:Z30" si="11">I30+J25</f>
        <v>-373.68397173691119</v>
      </c>
      <c r="K30" s="213">
        <f t="shared" si="11"/>
        <v>1302.8793036688892</v>
      </c>
      <c r="L30" s="213">
        <f t="shared" si="11"/>
        <v>3080.2969036086033</v>
      </c>
      <c r="M30" s="213">
        <f t="shared" si="11"/>
        <v>4963.3271198519415</v>
      </c>
      <c r="N30" s="213">
        <f t="shared" si="11"/>
        <v>6958.4968928596072</v>
      </c>
      <c r="O30" s="213">
        <f t="shared" si="11"/>
        <v>9071.955439306661</v>
      </c>
      <c r="P30" s="213">
        <f t="shared" si="11"/>
        <v>11308.832424848311</v>
      </c>
      <c r="Q30" s="213">
        <f t="shared" si="11"/>
        <v>13682.12717338292</v>
      </c>
      <c r="R30" s="213">
        <f t="shared" si="11"/>
        <v>16198.975852959686</v>
      </c>
      <c r="S30" s="213">
        <f t="shared" si="11"/>
        <v>18867.534819386063</v>
      </c>
      <c r="T30" s="213">
        <f t="shared" si="11"/>
        <v>21698.354928520843</v>
      </c>
      <c r="U30" s="213">
        <f t="shared" si="11"/>
        <v>24701.503739323445</v>
      </c>
      <c r="V30" s="213">
        <f t="shared" si="11"/>
        <v>27887.514859662624</v>
      </c>
      <c r="W30" s="213">
        <f t="shared" si="11"/>
        <v>31265.085729932031</v>
      </c>
      <c r="X30" s="213">
        <f t="shared" si="11"/>
        <v>34845.053041770196</v>
      </c>
      <c r="Y30" s="213">
        <f t="shared" si="11"/>
        <v>38638.037488891248</v>
      </c>
      <c r="Z30" s="213">
        <f t="shared" si="11"/>
        <v>42658.690674557554</v>
      </c>
    </row>
    <row r="31" spans="1:26 16384:16384">
      <c r="A31" s="52"/>
      <c r="B31" s="17"/>
      <c r="C31" s="17"/>
      <c r="D31" s="17"/>
      <c r="E31" s="17"/>
      <c r="F31" s="17"/>
      <c r="G31" s="201"/>
      <c r="H31" s="202"/>
      <c r="I31" s="202"/>
      <c r="J31" s="202"/>
      <c r="K31" s="202"/>
      <c r="L31" s="202"/>
      <c r="M31" s="202"/>
      <c r="N31" s="202"/>
      <c r="O31" s="202"/>
      <c r="P31" s="202"/>
      <c r="Q31" s="202"/>
      <c r="R31" s="202"/>
      <c r="S31" s="202"/>
      <c r="T31" s="202"/>
      <c r="U31" s="202"/>
      <c r="V31" s="202"/>
      <c r="W31" s="202"/>
      <c r="X31" s="202"/>
      <c r="Y31" s="202"/>
      <c r="Z31" s="202"/>
    </row>
    <row r="32" spans="1:26 16384:16384">
      <c r="A32" s="52"/>
      <c r="B32" s="17"/>
      <c r="C32" s="17"/>
      <c r="D32" s="17"/>
      <c r="E32" s="17"/>
      <c r="F32" s="17"/>
      <c r="G32" s="201"/>
      <c r="H32" s="202"/>
      <c r="I32" s="202"/>
      <c r="J32" s="202"/>
      <c r="K32" s="202"/>
      <c r="L32" s="202"/>
      <c r="M32" s="202"/>
      <c r="N32" s="202"/>
      <c r="O32" s="202"/>
      <c r="P32" s="202"/>
      <c r="Q32" s="202"/>
      <c r="R32" s="202"/>
      <c r="S32" s="202"/>
      <c r="T32" s="202"/>
      <c r="U32" s="202"/>
      <c r="V32" s="202"/>
      <c r="W32" s="202"/>
      <c r="X32" s="202"/>
      <c r="Y32" s="202"/>
      <c r="Z32" s="202"/>
    </row>
    <row r="33" spans="1:27">
      <c r="A33" s="52"/>
      <c r="B33" s="214" t="s">
        <v>36</v>
      </c>
      <c r="C33" s="215"/>
      <c r="D33" s="215"/>
      <c r="E33" s="215"/>
      <c r="F33" s="215"/>
      <c r="G33" s="298">
        <f>NPV(0%,(H28:Z28))</f>
        <v>13375.98153685431</v>
      </c>
      <c r="H33" s="216"/>
      <c r="I33" s="199"/>
      <c r="J33" s="199"/>
      <c r="K33" s="199"/>
      <c r="L33" s="199"/>
      <c r="M33" s="199"/>
      <c r="N33" s="199"/>
      <c r="O33" s="199"/>
      <c r="P33" s="199"/>
      <c r="Q33" s="199"/>
      <c r="R33" s="199"/>
      <c r="S33" s="199"/>
      <c r="T33" s="199"/>
      <c r="U33" s="199"/>
      <c r="V33" s="199"/>
      <c r="W33" s="199"/>
      <c r="X33" s="199"/>
      <c r="Y33" s="199"/>
      <c r="Z33" s="199"/>
    </row>
    <row r="34" spans="1:27">
      <c r="A34" s="52"/>
      <c r="B34" s="217" t="s">
        <v>37</v>
      </c>
      <c r="C34" s="218"/>
      <c r="D34" s="218"/>
      <c r="E34" s="218"/>
      <c r="F34" s="218"/>
      <c r="G34" s="300">
        <f>IRR(C25:Z25,0.1)</f>
        <v>0.20034810472597342</v>
      </c>
      <c r="H34" s="219"/>
      <c r="I34" s="199"/>
      <c r="J34" s="199"/>
      <c r="K34" s="199"/>
      <c r="L34" s="199"/>
      <c r="M34" s="199"/>
      <c r="N34" s="199"/>
      <c r="O34" s="199"/>
      <c r="P34" s="199"/>
      <c r="Q34" s="199"/>
      <c r="R34" s="199"/>
      <c r="S34" s="199"/>
      <c r="T34" s="199"/>
      <c r="U34" s="199"/>
      <c r="V34" s="199"/>
      <c r="W34" s="199"/>
      <c r="X34" s="199"/>
      <c r="Y34" s="199"/>
      <c r="Z34" s="199"/>
    </row>
    <row r="35" spans="1:27">
      <c r="A35" s="52"/>
      <c r="B35" s="220" t="s">
        <v>396</v>
      </c>
      <c r="C35" s="221"/>
      <c r="D35" s="221"/>
      <c r="E35" s="221"/>
      <c r="F35" s="221"/>
      <c r="G35" s="299">
        <f>IF(SUM(H40:Z40)&lt;=25,SUM(H40:Z40)," N/A ")</f>
        <v>3.222886888445331</v>
      </c>
      <c r="H35" s="222"/>
      <c r="I35" s="199"/>
      <c r="J35" s="199"/>
      <c r="K35" s="199"/>
      <c r="L35" s="199"/>
      <c r="M35" s="199"/>
      <c r="N35" s="199"/>
      <c r="O35" s="199"/>
      <c r="P35" s="199"/>
      <c r="Q35" s="199"/>
      <c r="R35" s="199"/>
      <c r="S35" s="199"/>
      <c r="T35" s="199"/>
      <c r="U35" s="199"/>
      <c r="V35" s="199"/>
      <c r="W35" s="199"/>
      <c r="X35" s="199"/>
      <c r="Y35" s="199"/>
      <c r="Z35" s="199"/>
    </row>
    <row r="36" spans="1:27" ht="16.5" customHeight="1">
      <c r="A36" s="52"/>
      <c r="B36" s="307" t="s">
        <v>397</v>
      </c>
      <c r="C36" s="308"/>
      <c r="D36" s="308"/>
      <c r="E36" s="308"/>
      <c r="F36" s="308"/>
      <c r="G36" s="309">
        <f>IF(SUM(H41:Z41)&lt;=25,SUM(H41:Z41)," N/A ")</f>
        <v>3.3263286933728091</v>
      </c>
      <c r="H36" s="310"/>
      <c r="I36" s="199"/>
      <c r="J36" s="199"/>
      <c r="K36" s="199"/>
      <c r="L36" s="199"/>
      <c r="M36" s="199"/>
      <c r="N36" s="199"/>
      <c r="O36" s="199"/>
      <c r="P36" s="199"/>
      <c r="Q36" s="199"/>
      <c r="R36" s="199"/>
      <c r="S36" s="199"/>
      <c r="T36" s="199"/>
      <c r="U36" s="199"/>
      <c r="V36" s="199"/>
      <c r="W36" s="199"/>
      <c r="X36" s="199"/>
      <c r="Y36" s="199"/>
      <c r="Z36" s="199"/>
    </row>
    <row r="37" spans="1:27" ht="19.5" customHeight="1">
      <c r="A37" s="286"/>
      <c r="H37" s="223">
        <v>1</v>
      </c>
      <c r="I37" s="301">
        <v>2</v>
      </c>
      <c r="J37" s="301">
        <v>3</v>
      </c>
      <c r="K37" s="301">
        <v>4</v>
      </c>
      <c r="L37" s="301">
        <v>5</v>
      </c>
      <c r="M37" s="301">
        <v>6</v>
      </c>
      <c r="N37" s="301">
        <v>7</v>
      </c>
      <c r="O37" s="301">
        <v>8</v>
      </c>
      <c r="P37" s="301">
        <v>9</v>
      </c>
      <c r="Q37" s="301">
        <v>10</v>
      </c>
      <c r="R37" s="301">
        <v>11</v>
      </c>
      <c r="S37" s="301">
        <v>12</v>
      </c>
      <c r="T37" s="301">
        <v>13</v>
      </c>
      <c r="U37" s="301">
        <v>14</v>
      </c>
      <c r="V37" s="301">
        <v>15</v>
      </c>
      <c r="W37" s="301">
        <v>16</v>
      </c>
      <c r="X37" s="301">
        <v>17</v>
      </c>
      <c r="Y37" s="301">
        <v>18</v>
      </c>
      <c r="Z37" s="302">
        <v>19</v>
      </c>
    </row>
    <row r="38" spans="1:27" ht="14.25" customHeight="1">
      <c r="A38" s="2"/>
      <c r="B38" s="303" t="s">
        <v>398</v>
      </c>
      <c r="H38" s="223">
        <f t="shared" ref="H38:Z38" si="12">IF(H30&lt;0,1,IF(H29=0,0,-G30/H29))</f>
        <v>1</v>
      </c>
      <c r="I38" s="223">
        <f t="shared" si="12"/>
        <v>1</v>
      </c>
      <c r="J38" s="223">
        <f t="shared" si="12"/>
        <v>1</v>
      </c>
      <c r="K38" s="223">
        <f t="shared" si="12"/>
        <v>0.22288688844533089</v>
      </c>
      <c r="L38" s="223">
        <f t="shared" si="12"/>
        <v>-0.7330181178092755</v>
      </c>
      <c r="M38" s="223">
        <f t="shared" si="12"/>
        <v>-1.6358191584168114</v>
      </c>
      <c r="N38" s="223">
        <f t="shared" si="12"/>
        <v>-2.4876715691065514</v>
      </c>
      <c r="O38" s="223">
        <f t="shared" si="12"/>
        <v>-3.2924690690326384</v>
      </c>
      <c r="P38" s="223">
        <f t="shared" si="12"/>
        <v>-4.0556344841242691</v>
      </c>
      <c r="Q38" s="223">
        <f t="shared" si="12"/>
        <v>-4.7650349506023035</v>
      </c>
      <c r="R38" s="223">
        <f t="shared" si="12"/>
        <v>-5.4362136605223759</v>
      </c>
      <c r="S38" s="223">
        <f t="shared" si="12"/>
        <v>-6.070308378702487</v>
      </c>
      <c r="T38" s="223">
        <f t="shared" si="12"/>
        <v>-6.6650419638119605</v>
      </c>
      <c r="U38" s="223">
        <f t="shared" si="12"/>
        <v>-7.2252013787894454</v>
      </c>
      <c r="V38" s="223">
        <f t="shared" si="12"/>
        <v>-7.7531128443436721</v>
      </c>
      <c r="W38" s="223">
        <f t="shared" si="12"/>
        <v>-8.2566779294369699</v>
      </c>
      <c r="X38" s="223">
        <f t="shared" si="12"/>
        <v>-8.7333439125394445</v>
      </c>
      <c r="Y38" s="223">
        <f t="shared" si="12"/>
        <v>-9.1867112896332195</v>
      </c>
      <c r="Z38" s="306">
        <f t="shared" si="12"/>
        <v>-9.6098906582235166</v>
      </c>
    </row>
    <row r="39" spans="1:27">
      <c r="A39" s="63"/>
      <c r="B39" s="303" t="s">
        <v>399</v>
      </c>
      <c r="H39" s="223">
        <f>IF(H30&lt;0,1,IF(H28=0,0,-G30/H28))</f>
        <v>1</v>
      </c>
      <c r="I39" s="223">
        <f>IF(I30&lt;0,1,IF(I28=0,0,-H30/I28))</f>
        <v>1</v>
      </c>
      <c r="J39" s="223">
        <f t="shared" ref="J39:Z39" si="13">IF(J30&lt;0,1,IF(J28=0,0,-I30/J28))</f>
        <v>1</v>
      </c>
      <c r="K39" s="223">
        <f t="shared" si="13"/>
        <v>0.32632869337280901</v>
      </c>
      <c r="L39" s="223">
        <f t="shared" si="13"/>
        <v>-1.1805330089130166</v>
      </c>
      <c r="M39" s="223">
        <f t="shared" si="13"/>
        <v>-2.8979534241040463</v>
      </c>
      <c r="N39" s="223">
        <f t="shared" si="13"/>
        <v>-4.8477681259017711</v>
      </c>
      <c r="O39" s="223">
        <f t="shared" si="13"/>
        <v>-7.0576998536494866</v>
      </c>
      <c r="P39" s="223">
        <f t="shared" si="13"/>
        <v>-9.5629739673808025</v>
      </c>
      <c r="Q39" s="223">
        <f t="shared" si="13"/>
        <v>-12.359273475237712</v>
      </c>
      <c r="R39" s="223">
        <f t="shared" si="13"/>
        <v>-15.510152012819802</v>
      </c>
      <c r="S39" s="223">
        <f t="shared" si="13"/>
        <v>-19.051228071167152</v>
      </c>
      <c r="T39" s="223">
        <f t="shared" si="13"/>
        <v>-23.009532514390116</v>
      </c>
      <c r="U39" s="223">
        <f t="shared" si="13"/>
        <v>-27.437690212006988</v>
      </c>
      <c r="V39" s="223">
        <f t="shared" si="13"/>
        <v>-32.386676436307617</v>
      </c>
      <c r="W39" s="223">
        <f t="shared" si="13"/>
        <v>-37.939212042814759</v>
      </c>
      <c r="X39" s="223">
        <f t="shared" si="13"/>
        <v>-44.142427294554651</v>
      </c>
      <c r="Y39" s="223">
        <f t="shared" si="13"/>
        <v>-51.077355153286355</v>
      </c>
      <c r="Z39" s="306">
        <f t="shared" si="13"/>
        <v>-58.773217196566698</v>
      </c>
    </row>
    <row r="40" spans="1:27">
      <c r="A40" s="2"/>
      <c r="B40" s="303" t="s">
        <v>400</v>
      </c>
      <c r="H40" s="296">
        <f>IF(H38&gt;0,H38,0)</f>
        <v>1</v>
      </c>
      <c r="I40" s="296">
        <f t="shared" ref="I40:Z40" si="14">IF(I38&gt;0,I38,0)</f>
        <v>1</v>
      </c>
      <c r="J40" s="296">
        <f t="shared" si="14"/>
        <v>1</v>
      </c>
      <c r="K40" s="296">
        <f t="shared" si="14"/>
        <v>0.22288688844533089</v>
      </c>
      <c r="L40" s="296">
        <f t="shared" si="14"/>
        <v>0</v>
      </c>
      <c r="M40" s="296">
        <f t="shared" si="14"/>
        <v>0</v>
      </c>
      <c r="N40" s="296">
        <f t="shared" si="14"/>
        <v>0</v>
      </c>
      <c r="O40" s="296">
        <f t="shared" si="14"/>
        <v>0</v>
      </c>
      <c r="P40" s="296">
        <f t="shared" si="14"/>
        <v>0</v>
      </c>
      <c r="Q40" s="296">
        <f t="shared" si="14"/>
        <v>0</v>
      </c>
      <c r="R40" s="296">
        <f t="shared" si="14"/>
        <v>0</v>
      </c>
      <c r="S40" s="296">
        <f t="shared" si="14"/>
        <v>0</v>
      </c>
      <c r="T40" s="296">
        <f t="shared" si="14"/>
        <v>0</v>
      </c>
      <c r="U40" s="296">
        <f t="shared" si="14"/>
        <v>0</v>
      </c>
      <c r="V40" s="296">
        <f t="shared" si="14"/>
        <v>0</v>
      </c>
      <c r="W40" s="296">
        <f t="shared" si="14"/>
        <v>0</v>
      </c>
      <c r="X40" s="296">
        <f t="shared" si="14"/>
        <v>0</v>
      </c>
      <c r="Y40" s="296">
        <f t="shared" si="14"/>
        <v>0</v>
      </c>
      <c r="Z40" s="297">
        <f t="shared" si="14"/>
        <v>0</v>
      </c>
      <c r="AA40" s="297"/>
    </row>
    <row r="41" spans="1:27">
      <c r="A41" s="2"/>
      <c r="B41" s="295" t="s">
        <v>401</v>
      </c>
      <c r="C41" s="225"/>
      <c r="D41" s="225"/>
      <c r="E41" s="225"/>
      <c r="F41" s="225"/>
      <c r="G41" s="225"/>
      <c r="H41" s="304">
        <f>IF(H39&gt;0,H39,0)</f>
        <v>1</v>
      </c>
      <c r="I41" s="304">
        <f t="shared" ref="I41:Z41" si="15">IF(I39&gt;0,I39,0)</f>
        <v>1</v>
      </c>
      <c r="J41" s="304">
        <f t="shared" si="15"/>
        <v>1</v>
      </c>
      <c r="K41" s="304">
        <f t="shared" si="15"/>
        <v>0.32632869337280901</v>
      </c>
      <c r="L41" s="304">
        <f t="shared" si="15"/>
        <v>0</v>
      </c>
      <c r="M41" s="304">
        <f t="shared" si="15"/>
        <v>0</v>
      </c>
      <c r="N41" s="304">
        <f t="shared" si="15"/>
        <v>0</v>
      </c>
      <c r="O41" s="304">
        <f t="shared" si="15"/>
        <v>0</v>
      </c>
      <c r="P41" s="304">
        <f t="shared" si="15"/>
        <v>0</v>
      </c>
      <c r="Q41" s="304">
        <f t="shared" si="15"/>
        <v>0</v>
      </c>
      <c r="R41" s="304">
        <f t="shared" si="15"/>
        <v>0</v>
      </c>
      <c r="S41" s="304">
        <f t="shared" si="15"/>
        <v>0</v>
      </c>
      <c r="T41" s="304">
        <f t="shared" si="15"/>
        <v>0</v>
      </c>
      <c r="U41" s="304">
        <f t="shared" si="15"/>
        <v>0</v>
      </c>
      <c r="V41" s="304">
        <f t="shared" si="15"/>
        <v>0</v>
      </c>
      <c r="W41" s="304">
        <f t="shared" si="15"/>
        <v>0</v>
      </c>
      <c r="X41" s="304">
        <f t="shared" si="15"/>
        <v>0</v>
      </c>
      <c r="Y41" s="304">
        <f t="shared" si="15"/>
        <v>0</v>
      </c>
      <c r="Z41" s="305">
        <f t="shared" si="15"/>
        <v>0</v>
      </c>
    </row>
    <row r="42" spans="1:27">
      <c r="H42" s="1"/>
      <c r="I42" s="1"/>
      <c r="J42" s="1"/>
      <c r="K42" s="1"/>
      <c r="L42" s="1"/>
      <c r="M42" s="1"/>
      <c r="N42" s="1"/>
      <c r="O42" s="1"/>
      <c r="P42" s="1"/>
      <c r="Q42" s="1"/>
      <c r="R42" s="1"/>
      <c r="S42" s="1"/>
      <c r="T42" s="1"/>
      <c r="U42" s="1"/>
      <c r="V42" s="1"/>
      <c r="W42" s="1"/>
      <c r="X42" s="1"/>
      <c r="Y42" s="1"/>
      <c r="Z42" s="1"/>
    </row>
    <row r="43" spans="1:27">
      <c r="A43" s="1"/>
      <c r="H43" s="1"/>
      <c r="I43" s="1"/>
      <c r="J43" s="1"/>
      <c r="K43" s="1"/>
      <c r="L43" s="1"/>
      <c r="M43" s="1"/>
      <c r="N43" s="1"/>
      <c r="O43" s="1"/>
      <c r="P43" s="1"/>
      <c r="Q43" s="1"/>
      <c r="R43" s="1"/>
      <c r="S43" s="1"/>
      <c r="T43" s="1"/>
      <c r="U43" s="1"/>
      <c r="V43" s="1"/>
      <c r="W43" s="1"/>
      <c r="X43" s="1"/>
      <c r="Y43" s="1"/>
      <c r="Z43" s="1"/>
    </row>
    <row r="44" spans="1:27">
      <c r="A44" s="1"/>
      <c r="I44" s="229"/>
      <c r="J44" s="1083"/>
      <c r="K44" s="1083"/>
      <c r="L44" s="1083"/>
      <c r="M44" s="1083"/>
      <c r="N44" s="1083"/>
    </row>
    <row r="45" spans="1:27">
      <c r="A45" s="1"/>
      <c r="B45" s="227" t="s">
        <v>395</v>
      </c>
      <c r="C45" s="228">
        <v>4.4999999999999998E-2</v>
      </c>
      <c r="H45" s="32">
        <f>(H20*10^7)/350000*70%</f>
        <v>18829.742194061648</v>
      </c>
      <c r="I45" s="32">
        <f>(I20*10^7/350000*90%)</f>
        <v>30287.10067150505</v>
      </c>
    </row>
    <row r="46" spans="1:27">
      <c r="A46" s="1"/>
      <c r="B46" s="227" t="s">
        <v>346</v>
      </c>
      <c r="C46" s="291">
        <v>4</v>
      </c>
      <c r="L46" s="226"/>
      <c r="M46" s="226"/>
      <c r="N46" s="226"/>
      <c r="O46" s="226"/>
      <c r="P46" s="226"/>
      <c r="Q46" s="226"/>
    </row>
    <row r="47" spans="1:27">
      <c r="A47" s="1"/>
    </row>
    <row r="48" spans="1:27">
      <c r="B48" s="287" t="s">
        <v>389</v>
      </c>
      <c r="C48" s="287"/>
      <c r="D48" s="287"/>
      <c r="E48" s="287"/>
      <c r="F48" s="287"/>
      <c r="G48" s="287"/>
      <c r="H48" s="158">
        <f t="shared" ref="H48:Z48" si="16">H10/(350000*H3)*10^7</f>
        <v>74749.50916666667</v>
      </c>
      <c r="I48" s="158">
        <f t="shared" si="16"/>
        <v>79050.595924116657</v>
      </c>
      <c r="J48" s="158">
        <f t="shared" si="16"/>
        <v>83599.167213590321</v>
      </c>
      <c r="K48" s="158">
        <f t="shared" si="16"/>
        <v>88409.463295060283</v>
      </c>
      <c r="L48" s="158">
        <f t="shared" si="16"/>
        <v>93496.543813058059</v>
      </c>
      <c r="M48" s="158">
        <f t="shared" si="16"/>
        <v>98876.334944061411</v>
      </c>
      <c r="N48" s="158">
        <f t="shared" si="16"/>
        <v>104565.67925674266</v>
      </c>
      <c r="O48" s="158">
        <f t="shared" si="16"/>
        <v>110582.38844117564</v>
      </c>
      <c r="P48" s="158">
        <f t="shared" si="16"/>
        <v>116945.29907208083</v>
      </c>
      <c r="Q48" s="158">
        <f t="shared" si="16"/>
        <v>123674.33158068836</v>
      </c>
      <c r="R48" s="158">
        <f t="shared" si="16"/>
        <v>130790.55261984115</v>
      </c>
      <c r="S48" s="158">
        <f t="shared" si="16"/>
        <v>138316.24101758681</v>
      </c>
      <c r="T48" s="158">
        <f t="shared" si="16"/>
        <v>146274.95752573875</v>
      </c>
      <c r="U48" s="158">
        <f t="shared" si="16"/>
        <v>154691.61858176976</v>
      </c>
      <c r="V48" s="158">
        <f t="shared" si="16"/>
        <v>163592.57431496476</v>
      </c>
      <c r="W48" s="158">
        <f t="shared" si="16"/>
        <v>173005.69104104786</v>
      </c>
      <c r="X48" s="158">
        <f t="shared" si="16"/>
        <v>182960.43850354964</v>
      </c>
      <c r="Y48" s="158">
        <f t="shared" si="16"/>
        <v>193487.98213504389</v>
      </c>
      <c r="Z48" s="288">
        <f t="shared" si="16"/>
        <v>204621.28062709427</v>
      </c>
    </row>
    <row r="49" spans="2:26">
      <c r="B49" s="1" t="s">
        <v>390</v>
      </c>
      <c r="H49" s="75">
        <f>H20/((350000*H3))*10^7</f>
        <v>38428.045294003372</v>
      </c>
      <c r="I49" s="75">
        <f>I20/((350000*I3))*10^7</f>
        <v>37391.482310500069</v>
      </c>
      <c r="J49" s="75">
        <f>J20/((350000*J3))*10^7</f>
        <v>38352.65051204987</v>
      </c>
      <c r="K49" s="75">
        <f t="shared" ref="K49:Z49" si="17">K20/((350000))*10^7</f>
        <v>40507.655426323145</v>
      </c>
      <c r="L49" s="75">
        <f t="shared" si="17"/>
        <v>42713.183814780496</v>
      </c>
      <c r="M49" s="75">
        <f t="shared" si="17"/>
        <v>45075.471622823177</v>
      </c>
      <c r="N49" s="75">
        <f t="shared" si="17"/>
        <v>47560.82859938078</v>
      </c>
      <c r="O49" s="75">
        <f t="shared" si="17"/>
        <v>50197.858542688366</v>
      </c>
      <c r="P49" s="75">
        <f t="shared" si="17"/>
        <v>53034.528056605115</v>
      </c>
      <c r="Q49" s="75">
        <f t="shared" si="17"/>
        <v>55865.910193985292</v>
      </c>
      <c r="R49" s="75">
        <f t="shared" si="17"/>
        <v>58880.590346219273</v>
      </c>
      <c r="S49" s="75">
        <f t="shared" si="17"/>
        <v>62071.699119690333</v>
      </c>
      <c r="T49" s="75">
        <f t="shared" si="17"/>
        <v>65394.382979030735</v>
      </c>
      <c r="U49" s="75">
        <f t="shared" si="17"/>
        <v>68887.366844552569</v>
      </c>
      <c r="V49" s="75">
        <f t="shared" si="17"/>
        <v>72563.685162416834</v>
      </c>
      <c r="W49" s="75">
        <f t="shared" si="17"/>
        <v>76503.666176207669</v>
      </c>
      <c r="X49" s="75">
        <f t="shared" si="17"/>
        <v>80675.658165316403</v>
      </c>
      <c r="Y49" s="75">
        <f t="shared" si="17"/>
        <v>85116.997931585211</v>
      </c>
      <c r="Z49" s="75">
        <f t="shared" si="17"/>
        <v>89745.475322342681</v>
      </c>
    </row>
    <row r="50" spans="2:26">
      <c r="B50" s="225" t="s">
        <v>391</v>
      </c>
      <c r="C50" s="225"/>
      <c r="D50" s="225"/>
      <c r="E50" s="225"/>
      <c r="F50" s="225"/>
      <c r="G50" s="225"/>
      <c r="H50" s="289">
        <f>H48-H49</f>
        <v>36321.463872663298</v>
      </c>
      <c r="I50" s="289">
        <f t="shared" ref="I50:Z50" si="18">I48-I49</f>
        <v>41659.113613616588</v>
      </c>
      <c r="J50" s="289">
        <f t="shared" si="18"/>
        <v>45246.516701540451</v>
      </c>
      <c r="K50" s="289">
        <f t="shared" si="18"/>
        <v>47901.807868737138</v>
      </c>
      <c r="L50" s="289">
        <f t="shared" si="18"/>
        <v>50783.359998277563</v>
      </c>
      <c r="M50" s="289">
        <f t="shared" si="18"/>
        <v>53800.863321238234</v>
      </c>
      <c r="N50" s="289">
        <f t="shared" si="18"/>
        <v>57004.85065736188</v>
      </c>
      <c r="O50" s="289">
        <f t="shared" si="18"/>
        <v>60384.529898487279</v>
      </c>
      <c r="P50" s="289">
        <f t="shared" si="18"/>
        <v>63910.771015475715</v>
      </c>
      <c r="Q50" s="289">
        <f t="shared" si="18"/>
        <v>67808.421386703063</v>
      </c>
      <c r="R50" s="289">
        <f t="shared" si="18"/>
        <v>71909.962273621873</v>
      </c>
      <c r="S50" s="289">
        <f t="shared" si="18"/>
        <v>76244.541897896474</v>
      </c>
      <c r="T50" s="289">
        <f t="shared" si="18"/>
        <v>80880.574546708012</v>
      </c>
      <c r="U50" s="289">
        <f t="shared" si="18"/>
        <v>85804.251737217186</v>
      </c>
      <c r="V50" s="289">
        <f t="shared" si="18"/>
        <v>91028.889152547927</v>
      </c>
      <c r="W50" s="289">
        <f t="shared" si="18"/>
        <v>96502.02486484019</v>
      </c>
      <c r="X50" s="289">
        <f t="shared" si="18"/>
        <v>102284.78033823323</v>
      </c>
      <c r="Y50" s="289">
        <f t="shared" si="18"/>
        <v>108370.98420345868</v>
      </c>
      <c r="Z50" s="42">
        <f t="shared" si="18"/>
        <v>114875.80530475159</v>
      </c>
    </row>
    <row r="51" spans="2:26">
      <c r="I51" s="226"/>
      <c r="J51" s="226"/>
      <c r="K51" s="226"/>
      <c r="L51" s="226"/>
      <c r="M51" s="226"/>
      <c r="N51" s="226"/>
      <c r="P51" s="226"/>
    </row>
    <row r="52" spans="2:26">
      <c r="B52" s="1" t="s">
        <v>75</v>
      </c>
      <c r="I52" s="226"/>
      <c r="J52" s="226"/>
      <c r="K52" s="226"/>
      <c r="L52" s="226"/>
      <c r="M52" s="226"/>
      <c r="N52" s="226"/>
      <c r="P52" s="226"/>
    </row>
    <row r="53" spans="2:26">
      <c r="B53" s="1" t="s">
        <v>74</v>
      </c>
    </row>
    <row r="57" spans="2:26">
      <c r="B57" s="1" t="s">
        <v>38</v>
      </c>
    </row>
    <row r="58" spans="2:26">
      <c r="B58" s="1" t="s">
        <v>39</v>
      </c>
    </row>
    <row r="59" spans="2:26">
      <c r="B59" s="1" t="s">
        <v>40</v>
      </c>
    </row>
    <row r="63" spans="2:26">
      <c r="H63" s="199"/>
      <c r="I63" s="199"/>
      <c r="J63" s="199"/>
      <c r="K63" s="199"/>
      <c r="L63" s="199"/>
      <c r="M63" s="199"/>
    </row>
    <row r="64" spans="2:26">
      <c r="H64" s="231"/>
      <c r="I64" s="231"/>
      <c r="J64" s="231"/>
      <c r="K64" s="231"/>
      <c r="L64" s="231">
        <v>0.05</v>
      </c>
      <c r="M64" s="231"/>
    </row>
    <row r="65" spans="8:13">
      <c r="H65" s="231"/>
      <c r="I65" s="231"/>
      <c r="J65" s="231"/>
      <c r="K65" s="231"/>
      <c r="L65" s="231"/>
      <c r="M65" s="231"/>
    </row>
  </sheetData>
  <mergeCells count="9">
    <mergeCell ref="R4:Z4"/>
    <mergeCell ref="A1:F1"/>
    <mergeCell ref="B5:B6"/>
    <mergeCell ref="J44:N44"/>
    <mergeCell ref="A7:G7"/>
    <mergeCell ref="A4:B4"/>
    <mergeCell ref="A2:B2"/>
    <mergeCell ref="A3:B3"/>
    <mergeCell ref="H4:Q4"/>
  </mergeCells>
  <hyperlinks>
    <hyperlink ref="B33" r:id="rId1" display="NPV@12%" xr:uid="{4C50BE4B-43D2-4EB7-A9AC-72D47A5A55A5}"/>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6B075-0EC5-420D-93C0-3AF1CCA0F42F}">
  <sheetPr codeName="Sheet10"/>
  <dimension ref="A1:Z83"/>
  <sheetViews>
    <sheetView showGridLines="0" zoomScale="96" zoomScaleNormal="96" workbookViewId="0">
      <pane ySplit="8" topLeftCell="A32" activePane="bottomLeft" state="frozen"/>
      <selection activeCell="G10" sqref="G10"/>
      <selection pane="bottomLeft" activeCell="H24" sqref="H24"/>
    </sheetView>
  </sheetViews>
  <sheetFormatPr defaultColWidth="8.7109375" defaultRowHeight="12.75"/>
  <cols>
    <col min="1" max="1" width="8.85546875" style="58" bestFit="1" customWidth="1"/>
    <col min="2" max="2" width="60" style="1" bestFit="1" customWidth="1"/>
    <col min="3" max="3" width="21.28515625" style="1" bestFit="1" customWidth="1"/>
    <col min="4" max="4" width="8.140625" style="1" customWidth="1"/>
    <col min="5" max="5" width="20" style="1" bestFit="1" customWidth="1"/>
    <col min="6" max="6" width="20.42578125" style="1" customWidth="1"/>
    <col min="7" max="7" width="11.140625" style="58"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6" ht="12.75" customHeight="1">
      <c r="A1" s="1092" t="str">
        <f>'Opex PVC'!A22</f>
        <v>Capacity for 500 KTPA PVC Plant (350 KTPA from captive Ethylene and 150 KTPA EDC / VCM Outsourced)</v>
      </c>
      <c r="B1" s="1093"/>
      <c r="C1" s="1093"/>
      <c r="D1" s="1093"/>
      <c r="E1" s="1093"/>
      <c r="F1" s="1094"/>
    </row>
    <row r="2" spans="1:26" s="167" customFormat="1" ht="15" customHeight="1">
      <c r="A2" s="1079" t="s">
        <v>440</v>
      </c>
      <c r="B2" s="108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6" s="167" customFormat="1" ht="15" customHeight="1">
      <c r="A3" s="1088" t="s">
        <v>221</v>
      </c>
      <c r="B3" s="108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6">
      <c r="A4" s="1086"/>
      <c r="B4" s="169" t="s">
        <v>24</v>
      </c>
      <c r="C4" s="169"/>
      <c r="D4" s="169"/>
      <c r="E4" s="169"/>
      <c r="F4" s="169"/>
      <c r="G4" s="169"/>
      <c r="H4" s="1078" t="s">
        <v>25</v>
      </c>
      <c r="I4" s="1078"/>
      <c r="J4" s="1078"/>
      <c r="K4" s="1078"/>
      <c r="L4" s="1078"/>
      <c r="M4" s="1078"/>
      <c r="N4" s="1078"/>
      <c r="O4" s="1078"/>
      <c r="P4" s="1078"/>
      <c r="Q4" s="1078"/>
      <c r="R4" s="1078" t="s">
        <v>25</v>
      </c>
      <c r="S4" s="1078"/>
      <c r="T4" s="1078"/>
      <c r="U4" s="1078"/>
      <c r="V4" s="1078"/>
      <c r="W4" s="1078"/>
      <c r="X4" s="1078"/>
      <c r="Y4" s="1078"/>
      <c r="Z4" s="1078"/>
    </row>
    <row r="5" spans="1:26">
      <c r="A5" s="1090"/>
      <c r="B5" s="1081" t="s">
        <v>26</v>
      </c>
      <c r="C5" s="171">
        <v>2023</v>
      </c>
      <c r="D5" s="171">
        <v>2024</v>
      </c>
      <c r="E5" s="171">
        <v>2025</v>
      </c>
      <c r="F5" s="171">
        <v>2026</v>
      </c>
      <c r="G5" s="171" t="s">
        <v>150</v>
      </c>
      <c r="H5" s="171">
        <v>2027</v>
      </c>
      <c r="I5" s="171">
        <v>2028</v>
      </c>
      <c r="J5" s="171">
        <v>2029</v>
      </c>
      <c r="K5" s="171">
        <v>2030</v>
      </c>
      <c r="L5" s="171">
        <v>2031</v>
      </c>
      <c r="M5" s="171">
        <v>2032</v>
      </c>
      <c r="N5" s="171">
        <v>2033</v>
      </c>
      <c r="O5" s="171">
        <v>2034</v>
      </c>
      <c r="P5" s="171">
        <v>2035</v>
      </c>
      <c r="Q5" s="171">
        <v>2036</v>
      </c>
      <c r="R5" s="171">
        <v>2037</v>
      </c>
      <c r="S5" s="171">
        <v>2038</v>
      </c>
      <c r="T5" s="171">
        <v>2039</v>
      </c>
      <c r="U5" s="171">
        <v>2040</v>
      </c>
      <c r="V5" s="171">
        <v>2041</v>
      </c>
      <c r="W5" s="171">
        <v>2042</v>
      </c>
      <c r="X5" s="171">
        <v>2043</v>
      </c>
      <c r="Y5" s="171">
        <v>2044</v>
      </c>
      <c r="Z5" s="171">
        <v>2045</v>
      </c>
    </row>
    <row r="6" spans="1:26">
      <c r="A6" s="1091"/>
      <c r="B6" s="1082"/>
      <c r="C6" s="172">
        <v>0.05</v>
      </c>
      <c r="D6" s="172">
        <v>0.25</v>
      </c>
      <c r="E6" s="172">
        <v>0.35</v>
      </c>
      <c r="F6" s="172">
        <v>0.35</v>
      </c>
      <c r="G6" s="172"/>
      <c r="H6" s="174"/>
      <c r="I6" s="174"/>
      <c r="J6" s="174"/>
      <c r="K6" s="174"/>
      <c r="L6" s="174"/>
      <c r="M6" s="174"/>
      <c r="N6" s="175"/>
      <c r="O6" s="174"/>
      <c r="P6" s="175"/>
      <c r="Q6" s="174"/>
      <c r="R6" s="176"/>
      <c r="S6" s="176"/>
      <c r="T6" s="176"/>
      <c r="U6" s="176"/>
      <c r="V6" s="176"/>
      <c r="W6" s="176"/>
      <c r="X6" s="176"/>
      <c r="Y6" s="176"/>
      <c r="Z6" s="176"/>
    </row>
    <row r="7" spans="1:26" ht="19.5" customHeight="1">
      <c r="A7" s="1084" t="s">
        <v>241</v>
      </c>
      <c r="B7" s="1085"/>
      <c r="C7" s="1085"/>
      <c r="D7" s="1085"/>
      <c r="E7" s="1085"/>
      <c r="F7" s="1085"/>
      <c r="G7" s="1085"/>
      <c r="H7" s="177"/>
      <c r="I7" s="177"/>
      <c r="J7" s="177"/>
      <c r="K7" s="177"/>
      <c r="L7" s="177"/>
      <c r="M7" s="177"/>
      <c r="N7" s="178"/>
      <c r="O7" s="177"/>
      <c r="P7" s="178"/>
      <c r="Q7" s="177"/>
      <c r="R7" s="179"/>
      <c r="S7" s="179"/>
      <c r="T7" s="179"/>
      <c r="U7" s="179"/>
      <c r="V7" s="179"/>
      <c r="W7" s="179"/>
      <c r="X7" s="179"/>
      <c r="Y7" s="179"/>
      <c r="Z7" s="179"/>
    </row>
    <row r="8" spans="1:26" ht="21.75" customHeight="1">
      <c r="A8" s="180">
        <v>1</v>
      </c>
      <c r="B8" s="181" t="s">
        <v>239</v>
      </c>
      <c r="C8" s="182">
        <f>ROUND($G8*C$6,2)</f>
        <v>302.67</v>
      </c>
      <c r="D8" s="182">
        <f>ROUND($G8*D$6,2)</f>
        <v>1513.36</v>
      </c>
      <c r="E8" s="182">
        <f>ROUND($G8*E$6,2)</f>
        <v>2118.71</v>
      </c>
      <c r="F8" s="182">
        <f>ROUND($G8*F$6,2)</f>
        <v>2118.71</v>
      </c>
      <c r="G8" s="339">
        <f>Capex!H21</f>
        <v>6053.4501838079996</v>
      </c>
      <c r="H8" s="183"/>
      <c r="I8" s="184"/>
      <c r="J8" s="183"/>
      <c r="K8" s="183"/>
      <c r="L8" s="183"/>
      <c r="M8" s="183"/>
      <c r="N8" s="185"/>
      <c r="O8" s="183"/>
      <c r="P8" s="183"/>
      <c r="Q8" s="183"/>
      <c r="R8" s="186"/>
      <c r="S8" s="186"/>
      <c r="T8" s="186"/>
      <c r="U8" s="186"/>
      <c r="V8" s="186"/>
      <c r="W8" s="186"/>
      <c r="X8" s="186"/>
      <c r="Y8" s="186"/>
      <c r="Z8" s="186"/>
    </row>
    <row r="9" spans="1:26" s="167" customFormat="1" ht="25.5" customHeight="1">
      <c r="A9" s="187"/>
      <c r="B9" s="188" t="s">
        <v>240</v>
      </c>
      <c r="C9" s="189">
        <f>SUM(C8:C8)</f>
        <v>302.67</v>
      </c>
      <c r="D9" s="189">
        <f>SUM(D8:D8)</f>
        <v>1513.36</v>
      </c>
      <c r="E9" s="189">
        <f>SUM(E8:E8)</f>
        <v>2118.71</v>
      </c>
      <c r="F9" s="189">
        <f>SUM(F8:F8)</f>
        <v>2118.71</v>
      </c>
      <c r="G9" s="242">
        <f>-G8</f>
        <v>-6053.4501838079996</v>
      </c>
      <c r="H9" s="243"/>
      <c r="I9" s="191"/>
      <c r="J9" s="191"/>
      <c r="K9" s="191"/>
      <c r="L9" s="191"/>
      <c r="M9" s="191"/>
      <c r="N9" s="192"/>
      <c r="O9" s="192"/>
      <c r="P9" s="192"/>
      <c r="Q9" s="192"/>
      <c r="R9" s="193"/>
      <c r="S9" s="193"/>
      <c r="T9" s="193"/>
      <c r="U9" s="193"/>
      <c r="V9" s="193"/>
      <c r="W9" s="193"/>
      <c r="X9" s="193"/>
      <c r="Y9" s="193"/>
      <c r="Z9" s="193"/>
    </row>
    <row r="10" spans="1:26">
      <c r="A10" s="194">
        <v>2</v>
      </c>
      <c r="B10" s="195" t="s">
        <v>27</v>
      </c>
      <c r="C10" s="195"/>
      <c r="D10" s="195"/>
      <c r="E10" s="195"/>
      <c r="F10" s="195"/>
      <c r="G10" s="196"/>
      <c r="H10" s="197">
        <f>H11</f>
        <v>2616.2328208333329</v>
      </c>
      <c r="I10" s="197">
        <f t="shared" ref="I10:Z10" si="0">I11</f>
        <v>3557.276816585249</v>
      </c>
      <c r="J10" s="197">
        <f t="shared" si="0"/>
        <v>4179.958360679515</v>
      </c>
      <c r="K10" s="197">
        <f t="shared" si="0"/>
        <v>4420.4731647530152</v>
      </c>
      <c r="L10" s="197">
        <f t="shared" si="0"/>
        <v>4674.8271906529017</v>
      </c>
      <c r="M10" s="197">
        <f t="shared" si="0"/>
        <v>4943.81674720307</v>
      </c>
      <c r="N10" s="197">
        <f t="shared" si="0"/>
        <v>5228.2839628371339</v>
      </c>
      <c r="O10" s="197">
        <f t="shared" si="0"/>
        <v>5529.1194220587822</v>
      </c>
      <c r="P10" s="197">
        <f t="shared" si="0"/>
        <v>5847.2649536040435</v>
      </c>
      <c r="Q10" s="197">
        <f t="shared" si="0"/>
        <v>6183.7165790344188</v>
      </c>
      <c r="R10" s="197">
        <f t="shared" si="0"/>
        <v>6539.5276309920573</v>
      </c>
      <c r="S10" s="197">
        <f t="shared" si="0"/>
        <v>6915.8120508793418</v>
      </c>
      <c r="T10" s="197">
        <f t="shared" si="0"/>
        <v>7313.7478762869378</v>
      </c>
      <c r="U10" s="197">
        <f t="shared" si="0"/>
        <v>7734.5809290884881</v>
      </c>
      <c r="V10" s="197">
        <f t="shared" si="0"/>
        <v>8179.6287157482375</v>
      </c>
      <c r="W10" s="197">
        <f t="shared" si="0"/>
        <v>8650.2845520523933</v>
      </c>
      <c r="X10" s="197">
        <f t="shared" si="0"/>
        <v>9148.0219251774852</v>
      </c>
      <c r="Y10" s="197">
        <f t="shared" si="0"/>
        <v>9674.3991067521965</v>
      </c>
      <c r="Z10" s="197">
        <f t="shared" si="0"/>
        <v>10231.064031354716</v>
      </c>
    </row>
    <row r="11" spans="1:26" s="167" customFormat="1">
      <c r="A11" s="52"/>
      <c r="B11" s="162" t="s">
        <v>87</v>
      </c>
      <c r="C11" s="162"/>
      <c r="D11" s="162"/>
      <c r="E11" s="162"/>
      <c r="F11" s="162"/>
      <c r="G11" s="198">
        <v>1</v>
      </c>
      <c r="H11" s="199">
        <f>IF(H$2&lt;=$C$56,0,Sales!E9*H$3*(1+$C$55)^(H$2-$C$56-1))</f>
        <v>2616.2328208333329</v>
      </c>
      <c r="I11" s="199">
        <f>IF(I$2&lt;=$C$56,0,Sales!F9*I$3*(1+$C$55)^(I$2-$C$56-1))</f>
        <v>3557.276816585249</v>
      </c>
      <c r="J11" s="199">
        <f>IF(J$2&lt;=$C$56,0,Sales!G9*J$3*(1+$C$55)^(J$2-$C$56-1))</f>
        <v>4179.958360679515</v>
      </c>
      <c r="K11" s="199">
        <f>IF(K$2&lt;=$C$56,0,Sales!H9*K$3*(1+$C$55)^(K$2-$C$56-1))</f>
        <v>4420.4731647530152</v>
      </c>
      <c r="L11" s="199">
        <f>IF(L$2&lt;=$C$56,0,Sales!I9*L$3*(1+$C$55)^(L$2-$C$56-1))</f>
        <v>4674.8271906529017</v>
      </c>
      <c r="M11" s="199">
        <f>IF(M$2&lt;=$C$56,0,Sales!J9*M$3*(1+$C$55)^(M$2-$C$56-1))</f>
        <v>4943.81674720307</v>
      </c>
      <c r="N11" s="199">
        <f>IF(N$2&lt;=$C$56,0,Sales!K9*N$3*(1+$C$55)^(N$2-$C$56-1))</f>
        <v>5228.2839628371339</v>
      </c>
      <c r="O11" s="199">
        <f>IF(O$2&lt;=$C$56,0,Sales!L9*O$3*(1+$C$55)^(O$2-$C$56-1))</f>
        <v>5529.1194220587822</v>
      </c>
      <c r="P11" s="199">
        <f>IF(P$2&lt;=$C$56,0,Sales!M9*P$3*(1+$C$55)^(P$2-$C$56-1))</f>
        <v>5847.2649536040435</v>
      </c>
      <c r="Q11" s="199">
        <f>IF(Q$2&lt;=$C$56,0,Sales!N9*Q$3*(1+$C$55)^(Q$2-$C$56-1))</f>
        <v>6183.7165790344188</v>
      </c>
      <c r="R11" s="199">
        <f>IF(R$2&lt;=$C$56,0,Sales!O9*R$3*(1+$C$55)^(R$2-$C$56-1))</f>
        <v>6539.5276309920573</v>
      </c>
      <c r="S11" s="199">
        <f>IF(S$2&lt;=$C$56,0,Sales!P9*S$3*(1+$C$55)^(S$2-$C$56-1))</f>
        <v>6915.8120508793418</v>
      </c>
      <c r="T11" s="199">
        <f>IF(T$2&lt;=$C$56,0,Sales!Q9*T$3*(1+$C$55)^(T$2-$C$56-1))</f>
        <v>7313.7478762869378</v>
      </c>
      <c r="U11" s="199">
        <f>IF(U$2&lt;=$C$56,0,Sales!R9*U$3*(1+$C$55)^(U$2-$C$56-1))</f>
        <v>7734.5809290884881</v>
      </c>
      <c r="V11" s="199">
        <f>IF(V$2&lt;=$C$56,0,Sales!S9*V$3*(1+$C$55)^(V$2-$C$56-1))</f>
        <v>8179.6287157482375</v>
      </c>
      <c r="W11" s="199">
        <f>IF(W$2&lt;=$C$56,0,Sales!T9*W$3*(1+$C$55)^(W$2-$C$56-1))</f>
        <v>8650.2845520523933</v>
      </c>
      <c r="X11" s="199">
        <f>IF(X$2&lt;=$C$56,0,Sales!U9*X$3*(1+$C$55)^(X$2-$C$56-1))</f>
        <v>9148.0219251774852</v>
      </c>
      <c r="Y11" s="199">
        <f>IF(Y$2&lt;=$C$56,0,Sales!V9*Y$3*(1+$C$55)^(Y$2-$C$56-1))</f>
        <v>9674.3991067521965</v>
      </c>
      <c r="Z11" s="199">
        <f>IF(Z$2&lt;=$C$56,0,Sales!W9*Z$3*(1+$C$55)^(Z$2-$C$56-1))</f>
        <v>10231.064031354716</v>
      </c>
    </row>
    <row r="12" spans="1:26">
      <c r="A12" s="52"/>
      <c r="B12" s="200"/>
      <c r="C12" s="200"/>
      <c r="D12" s="200"/>
      <c r="E12" s="200"/>
      <c r="F12" s="200"/>
      <c r="G12" s="201"/>
      <c r="H12" s="202"/>
      <c r="I12" s="494"/>
      <c r="J12" s="494"/>
      <c r="K12" s="494"/>
      <c r="L12" s="494"/>
      <c r="M12" s="494"/>
      <c r="N12" s="494"/>
      <c r="O12" s="494"/>
      <c r="P12" s="494"/>
      <c r="Q12" s="494"/>
      <c r="R12" s="494"/>
      <c r="S12" s="494"/>
      <c r="T12" s="494"/>
      <c r="U12" s="494"/>
      <c r="V12" s="494"/>
      <c r="W12" s="494"/>
      <c r="X12" s="494"/>
      <c r="Y12" s="494"/>
      <c r="Z12" s="494"/>
    </row>
    <row r="13" spans="1:26">
      <c r="A13" s="52"/>
      <c r="B13" s="17"/>
      <c r="C13" s="17"/>
      <c r="D13" s="17"/>
      <c r="E13" s="17"/>
      <c r="F13" s="17"/>
      <c r="G13" s="201"/>
      <c r="H13" s="199"/>
      <c r="I13" s="199"/>
      <c r="J13" s="199"/>
      <c r="K13" s="199"/>
      <c r="L13" s="199"/>
      <c r="M13" s="199"/>
      <c r="N13" s="199"/>
      <c r="O13" s="199"/>
      <c r="P13" s="199"/>
      <c r="Q13" s="199"/>
    </row>
    <row r="14" spans="1:26">
      <c r="A14" s="194">
        <v>3</v>
      </c>
      <c r="B14" s="195" t="s">
        <v>107</v>
      </c>
      <c r="C14" s="195"/>
      <c r="D14" s="195"/>
      <c r="E14" s="195"/>
      <c r="F14" s="195"/>
      <c r="G14" s="207"/>
      <c r="H14" s="183"/>
      <c r="I14" s="183"/>
      <c r="J14" s="183"/>
      <c r="K14" s="183"/>
      <c r="L14" s="183"/>
      <c r="M14" s="183"/>
      <c r="N14" s="183"/>
      <c r="O14" s="183"/>
      <c r="P14" s="183"/>
      <c r="Q14" s="183"/>
      <c r="R14" s="186"/>
      <c r="S14" s="186"/>
      <c r="T14" s="186"/>
      <c r="U14" s="186"/>
      <c r="V14" s="186"/>
      <c r="W14" s="186"/>
      <c r="X14" s="186"/>
      <c r="Y14" s="186"/>
      <c r="Z14" s="186"/>
    </row>
    <row r="15" spans="1:26">
      <c r="A15" s="52"/>
      <c r="B15" s="17" t="s">
        <v>28</v>
      </c>
      <c r="C15" s="17"/>
      <c r="D15" s="17"/>
      <c r="E15" s="17"/>
      <c r="F15" s="17"/>
      <c r="G15" s="208">
        <f t="shared" ref="G15:G20" si="1">J15/$J$21</f>
        <v>0.72409297700694686</v>
      </c>
      <c r="H15" s="199">
        <f>IF(H$2&lt;=$C$56,0,'Opex PVC'!E24*H$3*(1+$C$55)^(H$2-$C$56-1))</f>
        <v>1005.9348471466276</v>
      </c>
      <c r="I15" s="199">
        <f>IF(I$2&lt;=$C$56,0,'Opex PVC'!F24*I$3*(1+$C$55)^(I$2-$C$56-1))</f>
        <v>1368.5747906579215</v>
      </c>
      <c r="J15" s="199">
        <f>IF(J$2&lt;=$C$56,0,'Opex PVC'!G24*J$3*(1+$C$55)^(J$2-$C$56-1))</f>
        <v>1608.7718315276366</v>
      </c>
      <c r="K15" s="199">
        <f>IF(K$2&lt;=$C$56,0,'Opex PVC'!H24*K$3*(1+$C$55)^(K$2-$C$56-1))</f>
        <v>1702.5173793084991</v>
      </c>
      <c r="L15" s="199">
        <f>IF(L$2&lt;=$C$56,0,'Opex PVC'!I24*L$3*(1+$C$55)^(L$2-$C$56-1))</f>
        <v>1802.4372730414248</v>
      </c>
      <c r="M15" s="199">
        <f>IF(M$2&lt;=$C$56,0,'Opex PVC'!J24*M$3*(1+$C$55)^(M$2-$C$56-1))</f>
        <v>1910.6700264130163</v>
      </c>
      <c r="N15" s="199">
        <f>IF(N$2&lt;=$C$56,0,'Opex PVC'!K24*N$3*(1+$C$55)^(N$2-$C$56-1))</f>
        <v>2018.6133295552193</v>
      </c>
      <c r="O15" s="199">
        <f>IF(O$2&lt;=$C$56,0,'Opex PVC'!L24*O$3*(1+$C$55)^(O$2-$C$56-1))</f>
        <v>2133.709615073134</v>
      </c>
      <c r="P15" s="199">
        <f>IF(P$2&lt;=$C$56,0,'Opex PVC'!M24*P$3*(1+$C$55)^(P$2-$C$56-1))</f>
        <v>2255.3684030505656</v>
      </c>
      <c r="Q15" s="199">
        <f>IF(Q$2&lt;=$C$56,0,'Opex PVC'!N24*Q$3*(1+$C$55)^(Q$2-$C$56-1))</f>
        <v>2383.7281849733827</v>
      </c>
      <c r="R15" s="199">
        <f>IF(R$2&lt;=$C$56,0,'Opex PVC'!O24*R$3*(1+$C$55)^(R$2-$C$56-1))</f>
        <v>2523.8770998807072</v>
      </c>
      <c r="S15" s="199">
        <f>IF(S$2&lt;=$C$56,0,'Opex PVC'!P24*S$3*(1+$C$55)^(S$2-$C$56-1))</f>
        <v>2673.5846558757812</v>
      </c>
      <c r="T15" s="199">
        <f>IF(T$2&lt;=$C$56,0,'Opex PVC'!Q24*T$3*(1+$C$55)^(T$2-$C$56-1))</f>
        <v>2833.2898985021925</v>
      </c>
      <c r="U15" s="199">
        <f>IF(U$2&lt;=$C$56,0,'Opex PVC'!R24*U$3*(1+$C$55)^(U$2-$C$56-1))</f>
        <v>3002.831132738665</v>
      </c>
      <c r="V15" s="199">
        <f>IF(V$2&lt;=$C$56,0,'Opex PVC'!S24*V$3*(1+$C$55)^(V$2-$C$56-1))</f>
        <v>3174.0450568495912</v>
      </c>
      <c r="W15" s="199">
        <f>IF(W$2&lt;=$C$56,0,'Opex PVC'!T24*W$3*(1+$C$55)^(W$2-$C$56-1))</f>
        <v>3354.6894831700724</v>
      </c>
      <c r="X15" s="199">
        <f>IF(X$2&lt;=$C$56,0,'Opex PVC'!U24*X$3*(1+$C$55)^(X$2-$C$56-1))</f>
        <v>3545.9654907767208</v>
      </c>
      <c r="Y15" s="199">
        <f>IF(Y$2&lt;=$C$56,0,'Opex PVC'!V24*Y$3*(1+$C$55)^(Y$2-$C$56-1))</f>
        <v>3750.7414519035856</v>
      </c>
      <c r="Z15" s="199">
        <f>IF(Z$2&lt;=$C$56,0,'Opex PVC'!W24*Z$3*(1+$C$55)^(Z$2-$C$56-1))</f>
        <v>3970.8705923450807</v>
      </c>
    </row>
    <row r="16" spans="1:26">
      <c r="A16" s="52"/>
      <c r="B16" s="17" t="s">
        <v>198</v>
      </c>
      <c r="C16" s="17"/>
      <c r="D16" s="17"/>
      <c r="E16" s="17"/>
      <c r="F16" s="17"/>
      <c r="G16" s="208">
        <f t="shared" si="1"/>
        <v>5.6181031971304814E-2</v>
      </c>
      <c r="H16" s="199">
        <f>IF(H$2&lt;=$C$56,0,'Opex PVC'!E29*H$3*(1+$C$55)^(H$2-$C$56-1))</f>
        <v>77.987007000000006</v>
      </c>
      <c r="I16" s="199">
        <f>IF(I$2&lt;=$C$56,0,'Opex PVC'!F29*I$3*(1+$C$55)^(I$2-$C$56-1))</f>
        <v>106.18518133802701</v>
      </c>
      <c r="J16" s="199">
        <f>IF(J$2&lt;=$C$56,0,'Opex PVC'!G29*J$3*(1+$C$55)^(J$2-$C$56-1))</f>
        <v>124.82162453112929</v>
      </c>
      <c r="K16" s="199">
        <f>IF(K$2&lt;=$C$56,0,'Opex PVC'!H29*K$3*(1+$C$55)^(K$2-$C$56-1))</f>
        <v>132.095167824995</v>
      </c>
      <c r="L16" s="199">
        <f>IF(L$2&lt;=$C$56,0,'Opex PVC'!I29*L$3*(1+$C$55)^(L$2-$C$56-1))</f>
        <v>139.7097277266829</v>
      </c>
      <c r="M16" s="199">
        <f>IF(M$2&lt;=$C$56,0,'Opex PVC'!J29*M$3*(1+$C$55)^(M$2-$C$56-1))</f>
        <v>147.66102746079159</v>
      </c>
      <c r="N16" s="199">
        <f>IF(N$2&lt;=$C$56,0,'Opex PVC'!K29*N$3*(1+$C$55)^(N$2-$C$56-1))</f>
        <v>155.92598432034072</v>
      </c>
      <c r="O16" s="199">
        <f>IF(O$2&lt;=$C$56,0,'Opex PVC'!L29*O$3*(1+$C$55)^(O$2-$C$56-1))</f>
        <v>164.65355147771101</v>
      </c>
      <c r="P16" s="199">
        <f>IF(P$2&lt;=$C$56,0,'Opex PVC'!M29*P$3*(1+$C$55)^(P$2-$C$56-1))</f>
        <v>173.86962238779714</v>
      </c>
      <c r="Q16" s="199">
        <f>IF(Q$2&lt;=$C$56,0,'Opex PVC'!N29*Q$3*(1+$C$55)^(Q$2-$C$56-1))</f>
        <v>183.60153982689809</v>
      </c>
      <c r="R16" s="199">
        <f>IF(R$2&lt;=$C$56,0,'Opex PVC'!O29*R$3*(1+$C$55)^(R$2-$C$56-1))</f>
        <v>193.87817701485909</v>
      </c>
      <c r="S16" s="199">
        <f>IF(S$2&lt;=$C$56,0,'Opex PVC'!P29*S$3*(1+$C$55)^(S$2-$C$56-1))</f>
        <v>204.73002327782331</v>
      </c>
      <c r="T16" s="199">
        <f>IF(T$2&lt;=$C$56,0,'Opex PVC'!Q29*T$3*(1+$C$55)^(T$2-$C$56-1))</f>
        <v>216.18927450574122</v>
      </c>
      <c r="U16" s="199">
        <f>IF(U$2&lt;=$C$56,0,'Opex PVC'!R29*U$3*(1+$C$55)^(U$2-$C$56-1))</f>
        <v>228.28992867301383</v>
      </c>
      <c r="V16" s="199">
        <f>IF(V$2&lt;=$C$56,0,'Opex PVC'!S29*V$3*(1+$C$55)^(V$2-$C$56-1))</f>
        <v>241.06788670566405</v>
      </c>
      <c r="W16" s="199">
        <f>IF(W$2&lt;=$C$56,0,'Opex PVC'!T29*W$3*(1+$C$55)^(W$2-$C$56-1))</f>
        <v>254.56105899429684</v>
      </c>
      <c r="X16" s="199">
        <f>IF(X$2&lt;=$C$56,0,'Opex PVC'!U29*X$3*(1+$C$55)^(X$2-$C$56-1))</f>
        <v>268.80947786885503</v>
      </c>
      <c r="Y16" s="199">
        <f>IF(Y$2&lt;=$C$56,0,'Opex PVC'!V29*Y$3*(1+$C$55)^(Y$2-$C$56-1))</f>
        <v>283.85541636886956</v>
      </c>
      <c r="Z16" s="199">
        <f>IF(Z$2&lt;=$C$56,0,'Opex PVC'!W29*Z$3*(1+$C$55)^(Z$2-$C$56-1))</f>
        <v>299.743513661576</v>
      </c>
    </row>
    <row r="17" spans="1:26">
      <c r="A17" s="52"/>
      <c r="B17" s="17" t="s">
        <v>29</v>
      </c>
      <c r="C17" s="17"/>
      <c r="D17" s="17"/>
      <c r="E17" s="17"/>
      <c r="F17" s="17"/>
      <c r="G17" s="208">
        <f t="shared" si="1"/>
        <v>1.507953042914182E-2</v>
      </c>
      <c r="H17" s="199">
        <f>IF(H$2&lt;=$C$56,0,'Opex PVC'!$E$30*(1+$C$55)^(H$2-$C$56-1))</f>
        <v>30.68</v>
      </c>
      <c r="I17" s="199">
        <f>IF(I$2&lt;=$C$56,0,'Opex PVC'!$E$30*(1+$C$55)^(I$2-$C$56-1))</f>
        <v>32.060600000000001</v>
      </c>
      <c r="J17" s="199">
        <f>IF(J$2&lt;=$C$56,0,'Opex PVC'!$E$30*(1+$C$55)^(J$2-$C$56-1))</f>
        <v>33.503326999999992</v>
      </c>
      <c r="K17" s="199">
        <f>IF(K$2&lt;=$C$56,0,'Opex PVC'!$E$30*(1+$C$55)^(K$2-$C$56-1))</f>
        <v>35.010976714999991</v>
      </c>
      <c r="L17" s="199">
        <f>IF(L$2&lt;=$C$56,0,'Opex PVC'!$E$30*(1+$C$55)^(L$2-$C$56-1))</f>
        <v>36.586470667174986</v>
      </c>
      <c r="M17" s="199">
        <f>IF(M$2&lt;=$C$56,0,'Opex PVC'!$E$30*(1+$C$55)^(M$2-$C$56-1))</f>
        <v>38.23286184719786</v>
      </c>
      <c r="N17" s="199">
        <f>IF(N$2&lt;=$C$56,0,'Opex PVC'!$E$30*(1+$C$55)^(N$2-$C$56-1))</f>
        <v>39.953340630321755</v>
      </c>
      <c r="O17" s="199">
        <f>IF(O$2&lt;=$C$56,0,'Opex PVC'!$E$30*(1+$C$55)^(O$2-$C$56-1))</f>
        <v>41.751240958686232</v>
      </c>
      <c r="P17" s="199">
        <f>IF(P$2&lt;=$C$56,0,'Opex PVC'!$E$30*(1+$C$55)^(P$2-$C$56-1))</f>
        <v>43.630046801827099</v>
      </c>
      <c r="Q17" s="199">
        <f>IF(Q$2&lt;=$C$56,0,'Opex PVC'!$E$30*(1+$C$55)^(Q$2-$C$56-1))</f>
        <v>45.593398907909318</v>
      </c>
      <c r="R17" s="199">
        <f>IF(R$2&lt;=$C$56,0,'Opex PVC'!$E$30*(1+$C$55)^(R$2-$C$56-1))</f>
        <v>47.64510185876523</v>
      </c>
      <c r="S17" s="199">
        <f>IF(S$2&lt;=$C$56,0,'Opex PVC'!$E$30*(1+$C$55)^(S$2-$C$56-1))</f>
        <v>49.789131442409662</v>
      </c>
      <c r="T17" s="199">
        <f>IF(T$2&lt;=$C$56,0,'Opex PVC'!$E$30*(1+$C$55)^(T$2-$C$56-1))</f>
        <v>52.029642357318089</v>
      </c>
      <c r="U17" s="199">
        <f>IF(U$2&lt;=$C$56,0,'Opex PVC'!$E$30*(1+$C$55)^(U$2-$C$56-1))</f>
        <v>54.370976263397402</v>
      </c>
      <c r="V17" s="199">
        <f>IF(V$2&lt;=$C$56,0,'Opex PVC'!$E$30*(1+$C$55)^(V$2-$C$56-1))</f>
        <v>56.817670195250273</v>
      </c>
      <c r="W17" s="199">
        <f>IF(W$2&lt;=$C$56,0,'Opex PVC'!$E$30*(1+$C$55)^(W$2-$C$56-1))</f>
        <v>59.374465354036538</v>
      </c>
      <c r="X17" s="199">
        <f>IF(X$2&lt;=$C$56,0,'Opex PVC'!$E$30*(1+$C$55)^(X$2-$C$56-1))</f>
        <v>62.046316294968157</v>
      </c>
      <c r="Y17" s="199">
        <f>IF(Y$2&lt;=$C$56,0,'Opex PVC'!$E$30*(1+$C$55)^(Y$2-$C$56-1))</f>
        <v>64.838400528241735</v>
      </c>
      <c r="Z17" s="199">
        <f>IF(Z$2&lt;=$C$56,0,'Opex PVC'!$E$30*(1+$C$55)^(Z$2-$C$56-1))</f>
        <v>67.756128552012598</v>
      </c>
    </row>
    <row r="18" spans="1:26">
      <c r="A18" s="52"/>
      <c r="B18" s="17" t="s">
        <v>17</v>
      </c>
      <c r="C18" s="17"/>
      <c r="D18" s="17"/>
      <c r="E18" s="17"/>
      <c r="F18" s="17"/>
      <c r="G18" s="208">
        <f t="shared" si="1"/>
        <v>9.6606313749929118E-2</v>
      </c>
      <c r="H18" s="199">
        <f>IF(H$2&lt;=$C$56,0,'Opex PVC'!$E$32*(1+$C$55)^(H$2-$C$56-1))</f>
        <v>196.55</v>
      </c>
      <c r="I18" s="199">
        <f>IF(I$2&lt;=$C$56,0,'Opex PVC'!$E$32*(1+$C$55)^(I$2-$C$56-1))</f>
        <v>205.39474999999999</v>
      </c>
      <c r="J18" s="199">
        <f>IF(J$2&lt;=$C$56,0,'Opex PVC'!$E$32*(1+$C$55)^(J$2-$C$56-1))</f>
        <v>214.63751374999998</v>
      </c>
      <c r="K18" s="199">
        <f>IF(K$2&lt;=$C$56,0,'Opex PVC'!$E$32*(1+$C$55)^(K$2-$C$56-1))</f>
        <v>224.29620186874999</v>
      </c>
      <c r="L18" s="199">
        <f>IF(L$2&lt;=$C$56,0,'Opex PVC'!$E$32*(1+$C$55)^(L$2-$C$56-1))</f>
        <v>234.38953095284367</v>
      </c>
      <c r="M18" s="199">
        <f>IF(M$2&lt;=$C$56,0,'Opex PVC'!$E$32*(1+$C$55)^(M$2-$C$56-1))</f>
        <v>244.93705984572162</v>
      </c>
      <c r="N18" s="199">
        <f>IF(N$2&lt;=$C$56,0,'Opex PVC'!$E$32*(1+$C$55)^(N$2-$C$56-1))</f>
        <v>255.95922753877903</v>
      </c>
      <c r="O18" s="199">
        <f>IF(O$2&lt;=$C$56,0,'Opex PVC'!$E$32*(1+$C$55)^(O$2-$C$56-1))</f>
        <v>267.47739277802413</v>
      </c>
      <c r="P18" s="199">
        <f>IF(P$2&lt;=$C$56,0,'Opex PVC'!$E$32*(1+$C$55)^(P$2-$C$56-1))</f>
        <v>279.5138754530351</v>
      </c>
      <c r="Q18" s="199">
        <f>IF(Q$2&lt;=$C$56,0,'Opex PVC'!$E$32*(1+$C$55)^(Q$2-$C$56-1))</f>
        <v>292.09199984842166</v>
      </c>
      <c r="R18" s="199">
        <f>IF(R$2&lt;=$C$56,0,'Opex PVC'!$E$32*(1+$C$55)^(R$2-$C$56-1))</f>
        <v>305.23613984160062</v>
      </c>
      <c r="S18" s="199">
        <f>IF(S$2&lt;=$C$56,0,'Opex PVC'!$E$32*(1+$C$55)^(S$2-$C$56-1))</f>
        <v>318.9717661344726</v>
      </c>
      <c r="T18" s="199">
        <f>IF(T$2&lt;=$C$56,0,'Opex PVC'!$E$32*(1+$C$55)^(T$2-$C$56-1))</f>
        <v>333.32549561052383</v>
      </c>
      <c r="U18" s="199">
        <f>IF(U$2&lt;=$C$56,0,'Opex PVC'!$E$32*(1+$C$55)^(U$2-$C$56-1))</f>
        <v>348.32514291299742</v>
      </c>
      <c r="V18" s="199">
        <f>IF(V$2&lt;=$C$56,0,'Opex PVC'!$E$32*(1+$C$55)^(V$2-$C$56-1))</f>
        <v>363.9997743440822</v>
      </c>
      <c r="W18" s="199">
        <f>IF(W$2&lt;=$C$56,0,'Opex PVC'!$E$32*(1+$C$55)^(W$2-$C$56-1))</f>
        <v>380.37976418956595</v>
      </c>
      <c r="X18" s="199">
        <f>IF(X$2&lt;=$C$56,0,'Opex PVC'!$E$32*(1+$C$55)^(X$2-$C$56-1))</f>
        <v>397.49685357809625</v>
      </c>
      <c r="Y18" s="199">
        <f>IF(Y$2&lt;=$C$56,0,'Opex PVC'!$E$32*(1+$C$55)^(Y$2-$C$56-1))</f>
        <v>415.38421198911055</v>
      </c>
      <c r="Z18" s="199">
        <f>IF(Z$2&lt;=$C$56,0,'Opex PVC'!$E$32*(1+$C$55)^(Z$2-$C$56-1))</f>
        <v>434.07650152862044</v>
      </c>
    </row>
    <row r="19" spans="1:26" s="167" customFormat="1">
      <c r="A19" s="52"/>
      <c r="B19" s="17" t="s">
        <v>20</v>
      </c>
      <c r="C19" s="17"/>
      <c r="D19" s="17"/>
      <c r="E19" s="17"/>
      <c r="F19" s="17"/>
      <c r="G19" s="208">
        <f t="shared" si="1"/>
        <v>4.9108193538686069E-2</v>
      </c>
      <c r="H19" s="199">
        <f>IF(H$2&lt;=$C$56,0,'Opex PVC'!$E$35*(1+$C$55)^(H$2-$C$56-1))</f>
        <v>99.912884213903979</v>
      </c>
      <c r="I19" s="199">
        <f>IF(I$2&lt;=$C$56,0,'Opex PVC'!$E$35*(1+$C$55)^(I$2-$C$56-1))</f>
        <v>104.40896400352965</v>
      </c>
      <c r="J19" s="199">
        <f>IF(J$2&lt;=$C$56,0,'Opex PVC'!$E$35*(1+$C$55)^(J$2-$C$56-1))</f>
        <v>109.10736738368847</v>
      </c>
      <c r="K19" s="199">
        <f>IF(K$2&lt;=$C$56,0,'Opex PVC'!$E$35*(1+$C$55)^(K$2-$C$56-1))</f>
        <v>114.01719891595445</v>
      </c>
      <c r="L19" s="199">
        <f>IF(L$2&lt;=$C$56,0,'Opex PVC'!$E$35*(1+$C$55)^(L$2-$C$56-1))</f>
        <v>119.14797286717237</v>
      </c>
      <c r="M19" s="199">
        <f>IF(M$2&lt;=$C$56,0,'Opex PVC'!$E$35*(1+$C$55)^(M$2-$C$56-1))</f>
        <v>124.50963164619513</v>
      </c>
      <c r="N19" s="199">
        <f>IF(N$2&lt;=$C$56,0,'Opex PVC'!$E$35*(1+$C$55)^(N$2-$C$56-1))</f>
        <v>130.11256507027389</v>
      </c>
      <c r="O19" s="199">
        <f>IF(O$2&lt;=$C$56,0,'Opex PVC'!$E$35*(1+$C$55)^(O$2-$C$56-1))</f>
        <v>135.96763049843622</v>
      </c>
      <c r="P19" s="199">
        <f>IF(P$2&lt;=$C$56,0,'Opex PVC'!$E$35*(1+$C$55)^(P$2-$C$56-1))</f>
        <v>142.08617387086579</v>
      </c>
      <c r="Q19" s="199">
        <f>IF(Q$2&lt;=$C$56,0,'Opex PVC'!$E$35*(1+$C$55)^(Q$2-$C$56-1))</f>
        <v>148.48005169505475</v>
      </c>
      <c r="R19" s="199">
        <f>IF(R$2&lt;=$C$56,0,'Opex PVC'!$E$35*(1+$C$55)^(R$2-$C$56-1))</f>
        <v>155.1616540213322</v>
      </c>
      <c r="S19" s="199">
        <f>IF(S$2&lt;=$C$56,0,'Opex PVC'!$E$35*(1+$C$55)^(S$2-$C$56-1))</f>
        <v>162.14392845229213</v>
      </c>
      <c r="T19" s="199">
        <f>IF(T$2&lt;=$C$56,0,'Opex PVC'!$E$35*(1+$C$55)^(T$2-$C$56-1))</f>
        <v>169.44040523264525</v>
      </c>
      <c r="U19" s="199">
        <f>IF(U$2&lt;=$C$56,0,'Opex PVC'!$E$35*(1+$C$55)^(U$2-$C$56-1))</f>
        <v>177.06522346811428</v>
      </c>
      <c r="V19" s="199">
        <f>IF(V$2&lt;=$C$56,0,'Opex PVC'!$E$35*(1+$C$55)^(V$2-$C$56-1))</f>
        <v>185.03315852417938</v>
      </c>
      <c r="W19" s="199">
        <f>IF(W$2&lt;=$C$56,0,'Opex PVC'!$E$35*(1+$C$55)^(W$2-$C$56-1))</f>
        <v>193.35965065776747</v>
      </c>
      <c r="X19" s="199">
        <f>IF(X$2&lt;=$C$56,0,'Opex PVC'!$E$35*(1+$C$55)^(X$2-$C$56-1))</f>
        <v>202.06083493736693</v>
      </c>
      <c r="Y19" s="199">
        <f>IF(Y$2&lt;=$C$56,0,'Opex PVC'!$E$35*(1+$C$55)^(Y$2-$C$56-1))</f>
        <v>211.15357250954844</v>
      </c>
      <c r="Z19" s="199">
        <f>IF(Z$2&lt;=$C$56,0,'Opex PVC'!$E$35*(1+$C$55)^(Z$2-$C$56-1))</f>
        <v>220.65548327247808</v>
      </c>
    </row>
    <row r="20" spans="1:26">
      <c r="A20" s="52"/>
      <c r="B20" s="17" t="s">
        <v>21</v>
      </c>
      <c r="C20" s="17"/>
      <c r="D20" s="17"/>
      <c r="E20" s="17"/>
      <c r="F20" s="17"/>
      <c r="G20" s="208">
        <f t="shared" si="1"/>
        <v>5.8931953303991362E-2</v>
      </c>
      <c r="H20" s="199">
        <f>IF(H$2&lt;=$C$56,0,'Opex PVC'!$E$38*(1+$C$55)^(H$2-$C$56-1))</f>
        <v>119.89977644611248</v>
      </c>
      <c r="I20" s="199">
        <f>IF(I$2&lt;=$C$56,0,'Opex PVC'!$E$38*(1+$C$55)^(I$2-$C$56-1))</f>
        <v>125.29526638618754</v>
      </c>
      <c r="J20" s="199">
        <f>IF(J$2&lt;=$C$56,0,'Opex PVC'!$E$38*(1+$C$55)^(J$2-$C$56-1))</f>
        <v>130.93355337356596</v>
      </c>
      <c r="K20" s="199">
        <f>IF(K$2&lt;=$C$56,0,'Opex PVC'!$E$38*(1+$C$55)^(K$2-$C$56-1))</f>
        <v>136.82556327537642</v>
      </c>
      <c r="L20" s="199">
        <f>IF(L$2&lt;=$C$56,0,'Opex PVC'!$E$38*(1+$C$55)^(L$2-$C$56-1))</f>
        <v>142.98271362276833</v>
      </c>
      <c r="M20" s="199">
        <f>IF(M$2&lt;=$C$56,0,'Opex PVC'!$E$38*(1+$C$55)^(M$2-$C$56-1))</f>
        <v>149.41693573579292</v>
      </c>
      <c r="N20" s="199">
        <f>IF(N$2&lt;=$C$56,0,'Opex PVC'!$E$38*(1+$C$55)^(N$2-$C$56-1))</f>
        <v>156.14069784390355</v>
      </c>
      <c r="O20" s="199">
        <f>IF(O$2&lt;=$C$56,0,'Opex PVC'!$E$38*(1+$C$55)^(O$2-$C$56-1))</f>
        <v>163.16702924687922</v>
      </c>
      <c r="P20" s="199">
        <f>IF(P$2&lt;=$C$56,0,'Opex PVC'!$E$38*(1+$C$55)^(P$2-$C$56-1))</f>
        <v>170.50954556298873</v>
      </c>
      <c r="Q20" s="199">
        <f>IF(Q$2&lt;=$C$56,0,'Opex PVC'!$E$38*(1+$C$55)^(Q$2-$C$56-1))</f>
        <v>178.18247511332322</v>
      </c>
      <c r="R20" s="199">
        <f>IF(R$2&lt;=$C$56,0,'Opex PVC'!$E$38*(1+$C$55)^(R$2-$C$56-1))</f>
        <v>186.20068649342272</v>
      </c>
      <c r="S20" s="199">
        <f>IF(S$2&lt;=$C$56,0,'Opex PVC'!$E$38*(1+$C$55)^(S$2-$C$56-1))</f>
        <v>194.57971738562676</v>
      </c>
      <c r="T20" s="199">
        <f>IF(T$2&lt;=$C$56,0,'Opex PVC'!$E$38*(1+$C$55)^(T$2-$C$56-1))</f>
        <v>203.33580466797991</v>
      </c>
      <c r="U20" s="199">
        <f>IF(U$2&lt;=$C$56,0,'Opex PVC'!$E$38*(1+$C$55)^(U$2-$C$56-1))</f>
        <v>212.48591587803901</v>
      </c>
      <c r="V20" s="199">
        <f>IF(V$2&lt;=$C$56,0,'Opex PVC'!$E$38*(1+$C$55)^(V$2-$C$56-1))</f>
        <v>222.0477820925507</v>
      </c>
      <c r="W20" s="199">
        <f>IF(W$2&lt;=$C$56,0,'Opex PVC'!$E$38*(1+$C$55)^(W$2-$C$56-1))</f>
        <v>232.03993228671553</v>
      </c>
      <c r="X20" s="199">
        <f>IF(X$2&lt;=$C$56,0,'Opex PVC'!$E$38*(1+$C$55)^(X$2-$C$56-1))</f>
        <v>242.48172923961761</v>
      </c>
      <c r="Y20" s="199">
        <f>IF(Y$2&lt;=$C$56,0,'Opex PVC'!$E$38*(1+$C$55)^(Y$2-$C$56-1))</f>
        <v>253.39340705540042</v>
      </c>
      <c r="Z20" s="199">
        <f>IF(Z$2&lt;=$C$56,0,'Opex PVC'!$E$38*(1+$C$55)^(Z$2-$C$56-1))</f>
        <v>264.79611037289339</v>
      </c>
    </row>
    <row r="21" spans="1:26" s="167" customFormat="1">
      <c r="A21" s="187"/>
      <c r="B21" s="209" t="s">
        <v>30</v>
      </c>
      <c r="C21" s="209"/>
      <c r="D21" s="209"/>
      <c r="E21" s="209"/>
      <c r="F21" s="209"/>
      <c r="G21" s="210"/>
      <c r="H21" s="192">
        <f t="shared" ref="H21:Q21" si="2">SUM(H15:H20)</f>
        <v>1530.964514806644</v>
      </c>
      <c r="I21" s="192">
        <f t="shared" si="2"/>
        <v>1941.9195523856656</v>
      </c>
      <c r="J21" s="192">
        <f t="shared" si="2"/>
        <v>2221.7752175660203</v>
      </c>
      <c r="K21" s="192">
        <f t="shared" si="2"/>
        <v>2344.7624879085747</v>
      </c>
      <c r="L21" s="192">
        <f t="shared" si="2"/>
        <v>2475.2536888780674</v>
      </c>
      <c r="M21" s="192">
        <f t="shared" si="2"/>
        <v>2615.4275429487152</v>
      </c>
      <c r="N21" s="192">
        <f t="shared" si="2"/>
        <v>2756.705144958838</v>
      </c>
      <c r="O21" s="192">
        <f t="shared" si="2"/>
        <v>2906.7264600328713</v>
      </c>
      <c r="P21" s="192">
        <f t="shared" si="2"/>
        <v>3064.9776671270797</v>
      </c>
      <c r="Q21" s="192">
        <f t="shared" si="2"/>
        <v>3231.6776503649899</v>
      </c>
      <c r="R21" s="192">
        <f t="shared" ref="R21:Z21" si="3">SUM(R15:R20)</f>
        <v>3411.9988591106871</v>
      </c>
      <c r="S21" s="192">
        <f t="shared" si="3"/>
        <v>3603.7992225684056</v>
      </c>
      <c r="T21" s="192">
        <f t="shared" si="3"/>
        <v>3807.6105208764011</v>
      </c>
      <c r="U21" s="192">
        <f t="shared" si="3"/>
        <v>4023.3683199342272</v>
      </c>
      <c r="V21" s="192">
        <f t="shared" si="3"/>
        <v>4243.0113287113172</v>
      </c>
      <c r="W21" s="192">
        <f t="shared" si="3"/>
        <v>4474.4043546524545</v>
      </c>
      <c r="X21" s="192">
        <f t="shared" si="3"/>
        <v>4718.8607026956242</v>
      </c>
      <c r="Y21" s="192">
        <f t="shared" si="3"/>
        <v>4979.3664603547559</v>
      </c>
      <c r="Z21" s="192">
        <f t="shared" si="3"/>
        <v>5257.8983297326604</v>
      </c>
    </row>
    <row r="22" spans="1:26">
      <c r="A22" s="52"/>
      <c r="B22" s="17"/>
      <c r="C22" s="17"/>
      <c r="D22" s="17"/>
      <c r="E22" s="17"/>
      <c r="F22" s="17"/>
      <c r="G22" s="201"/>
      <c r="H22" s="199"/>
      <c r="I22" s="199"/>
      <c r="J22" s="199"/>
      <c r="K22" s="199"/>
      <c r="L22" s="199"/>
      <c r="M22" s="199"/>
      <c r="N22" s="199"/>
      <c r="O22" s="199"/>
      <c r="P22" s="199"/>
      <c r="Q22" s="199"/>
    </row>
    <row r="23" spans="1:26">
      <c r="A23" s="203">
        <v>4</v>
      </c>
      <c r="B23" s="204" t="s">
        <v>392</v>
      </c>
      <c r="C23" s="204"/>
      <c r="D23" s="204"/>
      <c r="E23" s="204"/>
      <c r="F23" s="204"/>
      <c r="G23" s="205"/>
      <c r="H23" s="206">
        <f t="shared" ref="H23:Z23" si="4">H10-H21</f>
        <v>1085.2683060266888</v>
      </c>
      <c r="I23" s="206">
        <f t="shared" si="4"/>
        <v>1615.3572641995834</v>
      </c>
      <c r="J23" s="206">
        <f t="shared" si="4"/>
        <v>1958.1831431134947</v>
      </c>
      <c r="K23" s="206">
        <f t="shared" si="4"/>
        <v>2075.7106768444405</v>
      </c>
      <c r="L23" s="206">
        <f t="shared" si="4"/>
        <v>2199.5735017748343</v>
      </c>
      <c r="M23" s="206">
        <f t="shared" si="4"/>
        <v>2328.3892042543548</v>
      </c>
      <c r="N23" s="206">
        <f t="shared" si="4"/>
        <v>2471.5788178782959</v>
      </c>
      <c r="O23" s="206">
        <f t="shared" si="4"/>
        <v>2622.3929620259109</v>
      </c>
      <c r="P23" s="206">
        <f t="shared" si="4"/>
        <v>2782.2872864769638</v>
      </c>
      <c r="Q23" s="206">
        <f t="shared" si="4"/>
        <v>2952.038928669429</v>
      </c>
      <c r="R23" s="206">
        <f t="shared" si="4"/>
        <v>3127.5287718813702</v>
      </c>
      <c r="S23" s="206">
        <f t="shared" si="4"/>
        <v>3312.0128283109361</v>
      </c>
      <c r="T23" s="206">
        <f t="shared" si="4"/>
        <v>3506.1373554105367</v>
      </c>
      <c r="U23" s="206">
        <f t="shared" si="4"/>
        <v>3711.2126091542609</v>
      </c>
      <c r="V23" s="206">
        <f t="shared" si="4"/>
        <v>3936.6173870369203</v>
      </c>
      <c r="W23" s="206">
        <f t="shared" si="4"/>
        <v>4175.8801973999389</v>
      </c>
      <c r="X23" s="206">
        <f t="shared" si="4"/>
        <v>4429.1612224818609</v>
      </c>
      <c r="Y23" s="206">
        <f t="shared" si="4"/>
        <v>4695.0326463974407</v>
      </c>
      <c r="Z23" s="206">
        <f t="shared" si="4"/>
        <v>4973.1657016220552</v>
      </c>
    </row>
    <row r="24" spans="1:26">
      <c r="A24" s="52"/>
      <c r="B24" s="17" t="s">
        <v>388</v>
      </c>
      <c r="C24" s="17"/>
      <c r="D24" s="17"/>
      <c r="E24" s="17"/>
      <c r="F24" s="17"/>
      <c r="G24" s="201"/>
      <c r="H24" s="262">
        <f t="shared" ref="H24:Z24" si="5">H23/H11</f>
        <v>0.41482099658126176</v>
      </c>
      <c r="I24" s="262">
        <f t="shared" si="5"/>
        <v>0.45409939891892354</v>
      </c>
      <c r="J24" s="262">
        <f t="shared" si="5"/>
        <v>0.46846953346089376</v>
      </c>
      <c r="K24" s="262">
        <f t="shared" si="5"/>
        <v>0.46956753258797729</v>
      </c>
      <c r="L24" s="262">
        <f t="shared" si="5"/>
        <v>0.47051439808786488</v>
      </c>
      <c r="M24" s="262">
        <f t="shared" si="5"/>
        <v>0.47096996578031031</v>
      </c>
      <c r="N24" s="262">
        <f t="shared" si="5"/>
        <v>0.47273232200974236</v>
      </c>
      <c r="O24" s="262">
        <f t="shared" si="5"/>
        <v>0.47428763277633385</v>
      </c>
      <c r="P24" s="262">
        <f t="shared" si="5"/>
        <v>0.47582712747813183</v>
      </c>
      <c r="Q24" s="262">
        <f t="shared" si="5"/>
        <v>0.47738910587819777</v>
      </c>
      <c r="R24" s="262">
        <f t="shared" si="5"/>
        <v>0.47824995142759552</v>
      </c>
      <c r="S24" s="262">
        <f t="shared" si="5"/>
        <v>0.47890440109485272</v>
      </c>
      <c r="T24" s="262">
        <f t="shared" si="5"/>
        <v>0.47938996732145234</v>
      </c>
      <c r="U24" s="262">
        <f t="shared" si="5"/>
        <v>0.47982077415429192</v>
      </c>
      <c r="V24" s="262">
        <f t="shared" si="5"/>
        <v>0.48127091385673187</v>
      </c>
      <c r="W24" s="262">
        <f t="shared" si="5"/>
        <v>0.48274483599607793</v>
      </c>
      <c r="X24" s="262">
        <f t="shared" si="5"/>
        <v>0.48416600426937967</v>
      </c>
      <c r="Y24" s="262">
        <f t="shared" si="5"/>
        <v>0.48530483336381763</v>
      </c>
      <c r="Z24" s="262">
        <f t="shared" si="5"/>
        <v>0.48608489658367904</v>
      </c>
    </row>
    <row r="25" spans="1:26">
      <c r="A25" s="52"/>
      <c r="B25" s="17" t="s">
        <v>387</v>
      </c>
      <c r="C25" s="17"/>
      <c r="D25" s="17"/>
      <c r="E25" s="17"/>
      <c r="F25" s="17"/>
      <c r="G25" s="201"/>
      <c r="H25" s="264">
        <f t="shared" ref="H25:Z25" si="6">H23/(H3*500000)*10^7</f>
        <v>31007.665886476821</v>
      </c>
      <c r="I25" s="264">
        <f t="shared" si="6"/>
        <v>35896.828093324075</v>
      </c>
      <c r="J25" s="264">
        <f t="shared" si="6"/>
        <v>39163.662862269892</v>
      </c>
      <c r="K25" s="264">
        <f t="shared" si="6"/>
        <v>41514.213536888812</v>
      </c>
      <c r="L25" s="264">
        <f t="shared" si="6"/>
        <v>43991.470035496684</v>
      </c>
      <c r="M25" s="264">
        <f t="shared" si="6"/>
        <v>46567.7840850871</v>
      </c>
      <c r="N25" s="264">
        <f t="shared" si="6"/>
        <v>49431.576357565915</v>
      </c>
      <c r="O25" s="264">
        <f t="shared" si="6"/>
        <v>52447.859240518221</v>
      </c>
      <c r="P25" s="264">
        <f t="shared" si="6"/>
        <v>55645.745729539274</v>
      </c>
      <c r="Q25" s="264">
        <f t="shared" si="6"/>
        <v>59040.778573388576</v>
      </c>
      <c r="R25" s="264">
        <f t="shared" si="6"/>
        <v>62550.575437627405</v>
      </c>
      <c r="S25" s="264">
        <f t="shared" si="6"/>
        <v>66240.256566218712</v>
      </c>
      <c r="T25" s="264">
        <f t="shared" si="6"/>
        <v>70122.747108210737</v>
      </c>
      <c r="U25" s="264">
        <f t="shared" si="6"/>
        <v>74224.25218308522</v>
      </c>
      <c r="V25" s="264">
        <f t="shared" si="6"/>
        <v>78732.34774073842</v>
      </c>
      <c r="W25" s="264">
        <f t="shared" si="6"/>
        <v>83517.603947998781</v>
      </c>
      <c r="X25" s="264">
        <f t="shared" si="6"/>
        <v>88583.224449637215</v>
      </c>
      <c r="Y25" s="264">
        <f t="shared" si="6"/>
        <v>93900.652927948817</v>
      </c>
      <c r="Z25" s="264">
        <f t="shared" si="6"/>
        <v>99463.314032441107</v>
      </c>
    </row>
    <row r="26" spans="1:26">
      <c r="A26" s="194"/>
      <c r="B26" s="195" t="s">
        <v>32</v>
      </c>
      <c r="C26" s="182">
        <f>-C8</f>
        <v>-302.67</v>
      </c>
      <c r="D26" s="182">
        <f>-D8</f>
        <v>-1513.36</v>
      </c>
      <c r="E26" s="182">
        <f>-E8</f>
        <v>-2118.71</v>
      </c>
      <c r="F26" s="182">
        <f>-F8</f>
        <v>-2118.71</v>
      </c>
      <c r="G26" s="196"/>
      <c r="H26" s="197">
        <f>H23+SUM(C26:F26)</f>
        <v>-4968.1816939733108</v>
      </c>
      <c r="I26" s="197">
        <f t="shared" ref="I26:Z26" si="7">I23</f>
        <v>1615.3572641995834</v>
      </c>
      <c r="J26" s="197">
        <f t="shared" si="7"/>
        <v>1958.1831431134947</v>
      </c>
      <c r="K26" s="197">
        <f t="shared" si="7"/>
        <v>2075.7106768444405</v>
      </c>
      <c r="L26" s="197">
        <f t="shared" si="7"/>
        <v>2199.5735017748343</v>
      </c>
      <c r="M26" s="197">
        <f t="shared" si="7"/>
        <v>2328.3892042543548</v>
      </c>
      <c r="N26" s="197">
        <f t="shared" si="7"/>
        <v>2471.5788178782959</v>
      </c>
      <c r="O26" s="197">
        <f t="shared" si="7"/>
        <v>2622.3929620259109</v>
      </c>
      <c r="P26" s="197">
        <f t="shared" si="7"/>
        <v>2782.2872864769638</v>
      </c>
      <c r="Q26" s="197">
        <f t="shared" si="7"/>
        <v>2952.038928669429</v>
      </c>
      <c r="R26" s="197">
        <f t="shared" si="7"/>
        <v>3127.5287718813702</v>
      </c>
      <c r="S26" s="197">
        <f t="shared" si="7"/>
        <v>3312.0128283109361</v>
      </c>
      <c r="T26" s="197">
        <f t="shared" si="7"/>
        <v>3506.1373554105367</v>
      </c>
      <c r="U26" s="197">
        <f t="shared" si="7"/>
        <v>3711.2126091542609</v>
      </c>
      <c r="V26" s="197">
        <f t="shared" si="7"/>
        <v>3936.6173870369203</v>
      </c>
      <c r="W26" s="197">
        <f t="shared" si="7"/>
        <v>4175.8801973999389</v>
      </c>
      <c r="X26" s="197">
        <f t="shared" si="7"/>
        <v>4429.1612224818609</v>
      </c>
      <c r="Y26" s="197">
        <f t="shared" si="7"/>
        <v>4695.0326463974407</v>
      </c>
      <c r="Z26" s="197">
        <f t="shared" si="7"/>
        <v>4973.1657016220552</v>
      </c>
    </row>
    <row r="27" spans="1:26">
      <c r="A27" s="52"/>
      <c r="B27" s="17"/>
      <c r="C27" s="17"/>
      <c r="D27" s="17"/>
      <c r="E27" s="17"/>
      <c r="F27" s="17"/>
      <c r="G27" s="201"/>
      <c r="H27" s="199"/>
      <c r="I27" s="199"/>
      <c r="J27" s="199"/>
      <c r="K27" s="199"/>
      <c r="L27" s="199"/>
      <c r="M27" s="199"/>
      <c r="N27" s="199"/>
      <c r="O27" s="199"/>
      <c r="P27" s="199"/>
      <c r="Q27" s="199"/>
      <c r="R27" s="199"/>
      <c r="S27" s="199"/>
      <c r="T27" s="199"/>
      <c r="U27" s="199"/>
      <c r="V27" s="199"/>
      <c r="W27" s="199"/>
      <c r="X27" s="199"/>
      <c r="Y27" s="199"/>
      <c r="Z27" s="199"/>
    </row>
    <row r="28" spans="1:26">
      <c r="A28" s="52"/>
      <c r="B28" s="17" t="s">
        <v>33</v>
      </c>
      <c r="C28" s="17"/>
      <c r="D28" s="17"/>
      <c r="E28" s="17"/>
      <c r="F28" s="17"/>
      <c r="G28" s="201">
        <v>1</v>
      </c>
      <c r="H28" s="199">
        <f>G28/(1+0.1)</f>
        <v>0.90909090909090906</v>
      </c>
      <c r="I28" s="199">
        <f>H28/(1+0.1)</f>
        <v>0.82644628099173545</v>
      </c>
      <c r="J28" s="199">
        <f t="shared" ref="J28:Z28" si="8">I28/(1+0.1)</f>
        <v>0.75131480090157765</v>
      </c>
      <c r="K28" s="199">
        <f t="shared" si="8"/>
        <v>0.68301345536507052</v>
      </c>
      <c r="L28" s="199">
        <f t="shared" si="8"/>
        <v>0.62092132305915493</v>
      </c>
      <c r="M28" s="199">
        <f t="shared" si="8"/>
        <v>0.56447393005377711</v>
      </c>
      <c r="N28" s="199">
        <f t="shared" si="8"/>
        <v>0.51315811823070645</v>
      </c>
      <c r="O28" s="199">
        <f t="shared" si="8"/>
        <v>0.46650738020973309</v>
      </c>
      <c r="P28" s="199">
        <f t="shared" si="8"/>
        <v>0.42409761837248461</v>
      </c>
      <c r="Q28" s="199">
        <f t="shared" si="8"/>
        <v>0.38554328942953142</v>
      </c>
      <c r="R28" s="199">
        <f t="shared" si="8"/>
        <v>0.35049389948139215</v>
      </c>
      <c r="S28" s="199">
        <f t="shared" si="8"/>
        <v>0.31863081771035645</v>
      </c>
      <c r="T28" s="199">
        <f t="shared" si="8"/>
        <v>0.28966437973668768</v>
      </c>
      <c r="U28" s="199">
        <f t="shared" si="8"/>
        <v>0.26333125430607968</v>
      </c>
      <c r="V28" s="199">
        <f t="shared" si="8"/>
        <v>0.23939204936916333</v>
      </c>
      <c r="W28" s="199">
        <f t="shared" si="8"/>
        <v>0.21762913579014848</v>
      </c>
      <c r="X28" s="199">
        <f t="shared" si="8"/>
        <v>0.19784466890013497</v>
      </c>
      <c r="Y28" s="199">
        <f t="shared" si="8"/>
        <v>0.17985878990921358</v>
      </c>
      <c r="Z28" s="199">
        <f t="shared" si="8"/>
        <v>0.16350799082655779</v>
      </c>
    </row>
    <row r="29" spans="1:26">
      <c r="A29" s="52"/>
      <c r="B29" s="17" t="s">
        <v>34</v>
      </c>
      <c r="C29" s="17"/>
      <c r="D29" s="17"/>
      <c r="E29" s="17"/>
      <c r="F29" s="17"/>
      <c r="G29" s="211"/>
      <c r="H29" s="202">
        <f>H26*H28</f>
        <v>-4516.5288127030099</v>
      </c>
      <c r="I29" s="202">
        <f t="shared" ref="I29:Z29" si="9">I26*I28</f>
        <v>1335.0060034707299</v>
      </c>
      <c r="J29" s="202">
        <f t="shared" si="9"/>
        <v>1471.2119782971408</v>
      </c>
      <c r="K29" s="202">
        <f t="shared" si="9"/>
        <v>1417.7383217296906</v>
      </c>
      <c r="L29" s="202">
        <f t="shared" si="9"/>
        <v>1365.7620888878887</v>
      </c>
      <c r="M29" s="202">
        <f t="shared" si="9"/>
        <v>1314.3150048202424</v>
      </c>
      <c r="N29" s="202">
        <f t="shared" si="9"/>
        <v>1268.3107352413003</v>
      </c>
      <c r="O29" s="202">
        <f t="shared" si="9"/>
        <v>1223.3656705951498</v>
      </c>
      <c r="P29" s="202">
        <f t="shared" si="9"/>
        <v>1179.9614118229231</v>
      </c>
      <c r="Q29" s="202">
        <f t="shared" si="9"/>
        <v>1138.1387990832416</v>
      </c>
      <c r="R29" s="202">
        <f t="shared" si="9"/>
        <v>1096.1797549969508</v>
      </c>
      <c r="S29" s="202">
        <f t="shared" si="9"/>
        <v>1055.3093557519039</v>
      </c>
      <c r="T29" s="202">
        <f t="shared" si="9"/>
        <v>1015.6031023266236</v>
      </c>
      <c r="U29" s="202">
        <f t="shared" si="9"/>
        <v>977.27827136513019</v>
      </c>
      <c r="V29" s="202">
        <f t="shared" si="9"/>
        <v>942.39490386504917</v>
      </c>
      <c r="W29" s="202">
        <f t="shared" si="9"/>
        <v>908.79319852334334</v>
      </c>
      <c r="X29" s="202">
        <f t="shared" si="9"/>
        <v>876.28593556724081</v>
      </c>
      <c r="Y29" s="202">
        <f t="shared" si="9"/>
        <v>844.44289036529631</v>
      </c>
      <c r="Z29" s="202">
        <f t="shared" si="9"/>
        <v>813.15233191977086</v>
      </c>
    </row>
    <row r="30" spans="1:26">
      <c r="A30" s="52"/>
      <c r="B30" s="17" t="s">
        <v>35</v>
      </c>
      <c r="C30" s="17"/>
      <c r="D30" s="17"/>
      <c r="E30" s="17"/>
      <c r="F30" s="17"/>
      <c r="G30" s="211"/>
      <c r="H30" s="202">
        <f>H26</f>
        <v>-4968.1816939733108</v>
      </c>
      <c r="I30" s="202">
        <f t="shared" ref="I30:Z30" si="10">I26</f>
        <v>1615.3572641995834</v>
      </c>
      <c r="J30" s="202">
        <f t="shared" si="10"/>
        <v>1958.1831431134947</v>
      </c>
      <c r="K30" s="202">
        <f t="shared" si="10"/>
        <v>2075.7106768444405</v>
      </c>
      <c r="L30" s="202">
        <f t="shared" si="10"/>
        <v>2199.5735017748343</v>
      </c>
      <c r="M30" s="202">
        <f t="shared" si="10"/>
        <v>2328.3892042543548</v>
      </c>
      <c r="N30" s="202">
        <f t="shared" si="10"/>
        <v>2471.5788178782959</v>
      </c>
      <c r="O30" s="202">
        <f t="shared" si="10"/>
        <v>2622.3929620259109</v>
      </c>
      <c r="P30" s="202">
        <f t="shared" si="10"/>
        <v>2782.2872864769638</v>
      </c>
      <c r="Q30" s="202">
        <f t="shared" si="10"/>
        <v>2952.038928669429</v>
      </c>
      <c r="R30" s="202">
        <f t="shared" si="10"/>
        <v>3127.5287718813702</v>
      </c>
      <c r="S30" s="202">
        <f t="shared" si="10"/>
        <v>3312.0128283109361</v>
      </c>
      <c r="T30" s="202">
        <f t="shared" si="10"/>
        <v>3506.1373554105367</v>
      </c>
      <c r="U30" s="202">
        <f t="shared" si="10"/>
        <v>3711.2126091542609</v>
      </c>
      <c r="V30" s="202">
        <f t="shared" si="10"/>
        <v>3936.6173870369203</v>
      </c>
      <c r="W30" s="202">
        <f t="shared" si="10"/>
        <v>4175.8801973999389</v>
      </c>
      <c r="X30" s="202">
        <f t="shared" si="10"/>
        <v>4429.1612224818609</v>
      </c>
      <c r="Y30" s="202">
        <f t="shared" si="10"/>
        <v>4695.0326463974407</v>
      </c>
      <c r="Z30" s="202">
        <f t="shared" si="10"/>
        <v>4973.1657016220552</v>
      </c>
    </row>
    <row r="31" spans="1:26">
      <c r="A31" s="53"/>
      <c r="B31" s="55" t="s">
        <v>443</v>
      </c>
      <c r="C31" s="55"/>
      <c r="D31" s="55"/>
      <c r="E31" s="55"/>
      <c r="F31" s="55"/>
      <c r="G31" s="212"/>
      <c r="H31" s="213">
        <f>H26</f>
        <v>-4968.1816939733108</v>
      </c>
      <c r="I31" s="213">
        <f>H31+I26</f>
        <v>-3352.8244297737274</v>
      </c>
      <c r="J31" s="213">
        <f t="shared" ref="J31:Z31" si="11">I31+J26</f>
        <v>-1394.6412866602327</v>
      </c>
      <c r="K31" s="213">
        <f t="shared" si="11"/>
        <v>681.0693901842078</v>
      </c>
      <c r="L31" s="213">
        <f t="shared" si="11"/>
        <v>2880.6428919590421</v>
      </c>
      <c r="M31" s="213">
        <f t="shared" si="11"/>
        <v>5209.0320962133974</v>
      </c>
      <c r="N31" s="213">
        <f t="shared" si="11"/>
        <v>7680.6109140916933</v>
      </c>
      <c r="O31" s="213">
        <f t="shared" si="11"/>
        <v>10303.003876117604</v>
      </c>
      <c r="P31" s="213">
        <f t="shared" si="11"/>
        <v>13085.291162594567</v>
      </c>
      <c r="Q31" s="213">
        <f t="shared" si="11"/>
        <v>16037.330091263997</v>
      </c>
      <c r="R31" s="213">
        <f t="shared" si="11"/>
        <v>19164.858863145368</v>
      </c>
      <c r="S31" s="213">
        <f t="shared" si="11"/>
        <v>22476.871691456305</v>
      </c>
      <c r="T31" s="213">
        <f t="shared" si="11"/>
        <v>25983.009046866842</v>
      </c>
      <c r="U31" s="213">
        <f t="shared" si="11"/>
        <v>29694.221656021102</v>
      </c>
      <c r="V31" s="213">
        <f t="shared" si="11"/>
        <v>33630.839043058018</v>
      </c>
      <c r="W31" s="213">
        <f t="shared" si="11"/>
        <v>37806.719240457955</v>
      </c>
      <c r="X31" s="213">
        <f t="shared" si="11"/>
        <v>42235.880462939815</v>
      </c>
      <c r="Y31" s="213">
        <f t="shared" si="11"/>
        <v>46930.913109337256</v>
      </c>
      <c r="Z31" s="213">
        <f t="shared" si="11"/>
        <v>51904.078810959312</v>
      </c>
    </row>
    <row r="32" spans="1:26">
      <c r="A32" s="52"/>
      <c r="B32" s="17"/>
      <c r="C32" s="17"/>
      <c r="D32" s="17"/>
      <c r="E32" s="17"/>
      <c r="F32" s="17"/>
      <c r="G32" s="201"/>
      <c r="H32" s="202"/>
      <c r="I32" s="202"/>
      <c r="J32" s="202"/>
      <c r="K32" s="202"/>
      <c r="L32" s="202"/>
      <c r="M32" s="202"/>
      <c r="N32" s="202"/>
      <c r="O32" s="202"/>
      <c r="P32" s="202"/>
      <c r="Q32" s="202"/>
      <c r="R32" s="202"/>
      <c r="S32" s="202"/>
      <c r="T32" s="202"/>
      <c r="U32" s="202"/>
      <c r="V32" s="202"/>
      <c r="W32" s="202"/>
      <c r="X32" s="202"/>
      <c r="Y32" s="202"/>
      <c r="Z32" s="202"/>
    </row>
    <row r="33" spans="1:26">
      <c r="A33" s="52"/>
      <c r="B33" s="17"/>
      <c r="C33" s="17"/>
      <c r="D33" s="17"/>
      <c r="E33" s="17"/>
      <c r="F33" s="17"/>
      <c r="G33" s="201"/>
      <c r="H33" s="202"/>
      <c r="I33" s="202"/>
      <c r="J33" s="202"/>
      <c r="K33" s="202"/>
      <c r="L33" s="202"/>
      <c r="M33" s="202"/>
      <c r="N33" s="202"/>
      <c r="O33" s="202"/>
      <c r="P33" s="202"/>
      <c r="Q33" s="202"/>
      <c r="R33" s="202"/>
      <c r="S33" s="202"/>
      <c r="T33" s="202"/>
      <c r="U33" s="202"/>
      <c r="V33" s="202"/>
      <c r="W33" s="202"/>
      <c r="X33" s="202"/>
      <c r="Y33" s="202"/>
      <c r="Z33" s="202"/>
    </row>
    <row r="34" spans="1:26">
      <c r="A34" s="52"/>
      <c r="B34" s="214" t="s">
        <v>36</v>
      </c>
      <c r="C34" s="215"/>
      <c r="D34" s="215"/>
      <c r="E34" s="215"/>
      <c r="F34" s="215"/>
      <c r="G34" s="298">
        <f>NPV(0%,(H29:Z29))</f>
        <v>15726.720945926609</v>
      </c>
      <c r="H34" s="216"/>
      <c r="I34" s="199"/>
      <c r="J34" s="199"/>
      <c r="K34" s="199"/>
      <c r="L34" s="199"/>
      <c r="M34" s="199"/>
      <c r="N34" s="199"/>
      <c r="O34" s="199"/>
      <c r="P34" s="199"/>
      <c r="Q34" s="199"/>
      <c r="R34" s="199"/>
      <c r="S34" s="199"/>
      <c r="T34" s="199"/>
      <c r="U34" s="199"/>
      <c r="V34" s="199"/>
      <c r="W34" s="199"/>
      <c r="X34" s="199"/>
      <c r="Y34" s="199"/>
      <c r="Z34" s="199"/>
    </row>
    <row r="35" spans="1:26">
      <c r="A35" s="52"/>
      <c r="B35" s="217" t="s">
        <v>37</v>
      </c>
      <c r="C35" s="218"/>
      <c r="D35" s="218"/>
      <c r="E35" s="218"/>
      <c r="F35" s="218"/>
      <c r="G35" s="300">
        <f>IRR(C26:Z26,0.1)</f>
        <v>0.17434663026336406</v>
      </c>
      <c r="H35" s="219"/>
      <c r="I35" s="199"/>
      <c r="J35" s="199"/>
      <c r="K35" s="199"/>
      <c r="L35" s="199"/>
      <c r="M35" s="199"/>
      <c r="N35" s="199"/>
      <c r="O35" s="199"/>
      <c r="P35" s="199"/>
      <c r="Q35" s="199"/>
      <c r="R35" s="199"/>
      <c r="S35" s="199"/>
      <c r="T35" s="199"/>
      <c r="U35" s="199"/>
      <c r="V35" s="199"/>
      <c r="W35" s="199"/>
      <c r="X35" s="199"/>
      <c r="Y35" s="199"/>
      <c r="Z35" s="199"/>
    </row>
    <row r="36" spans="1:26">
      <c r="A36" s="52"/>
      <c r="B36" s="220" t="s">
        <v>396</v>
      </c>
      <c r="C36" s="221"/>
      <c r="D36" s="221"/>
      <c r="E36" s="221"/>
      <c r="F36" s="221"/>
      <c r="G36" s="299">
        <f>IF(SUM(H41:Z41)&lt;=25,SUM(H41:Z41)," N/A ")</f>
        <v>3.6718861651665295</v>
      </c>
      <c r="H36" s="222"/>
      <c r="I36" s="199"/>
      <c r="J36" s="199"/>
      <c r="K36" s="199"/>
      <c r="L36" s="199"/>
      <c r="M36" s="199"/>
      <c r="N36" s="199"/>
      <c r="O36" s="199"/>
      <c r="P36" s="199"/>
      <c r="Q36" s="199"/>
      <c r="R36" s="199"/>
      <c r="S36" s="199"/>
      <c r="T36" s="199"/>
      <c r="U36" s="199"/>
      <c r="V36" s="199"/>
      <c r="W36" s="199"/>
      <c r="X36" s="199"/>
      <c r="Y36" s="199"/>
      <c r="Z36" s="199"/>
    </row>
    <row r="37" spans="1:26" ht="23.25" customHeight="1">
      <c r="A37" s="52"/>
      <c r="B37" s="307" t="s">
        <v>397</v>
      </c>
      <c r="C37" s="308"/>
      <c r="D37" s="308"/>
      <c r="E37" s="308"/>
      <c r="F37" s="308"/>
      <c r="G37" s="311">
        <f>IF(SUM(H42:Z42)&lt;=25,SUM(H42:Z42)," N/A ")</f>
        <v>3.983708534420316</v>
      </c>
      <c r="H37" s="310"/>
      <c r="I37" s="199"/>
      <c r="J37" s="199"/>
      <c r="K37" s="199"/>
      <c r="L37" s="199"/>
      <c r="M37" s="199"/>
      <c r="N37" s="199"/>
      <c r="O37" s="199"/>
      <c r="P37" s="199"/>
      <c r="Q37" s="199"/>
      <c r="R37" s="199"/>
      <c r="S37" s="199"/>
      <c r="T37" s="199"/>
      <c r="U37" s="199"/>
      <c r="V37" s="199"/>
      <c r="W37" s="199"/>
      <c r="X37" s="199"/>
      <c r="Y37" s="199"/>
      <c r="Z37" s="199"/>
    </row>
    <row r="38" spans="1:26">
      <c r="A38" s="286"/>
      <c r="G38" s="1"/>
      <c r="H38" s="223">
        <v>1</v>
      </c>
      <c r="I38" s="301">
        <v>2</v>
      </c>
      <c r="J38" s="301">
        <v>3</v>
      </c>
      <c r="K38" s="301">
        <v>4</v>
      </c>
      <c r="L38" s="301">
        <v>5</v>
      </c>
      <c r="M38" s="301">
        <v>6</v>
      </c>
      <c r="N38" s="301">
        <v>7</v>
      </c>
      <c r="O38" s="301">
        <v>8</v>
      </c>
      <c r="P38" s="301">
        <v>9</v>
      </c>
      <c r="Q38" s="301">
        <v>10</v>
      </c>
      <c r="R38" s="301">
        <v>11</v>
      </c>
      <c r="S38" s="301">
        <v>12</v>
      </c>
      <c r="T38" s="301">
        <v>13</v>
      </c>
      <c r="U38" s="301">
        <v>14</v>
      </c>
      <c r="V38" s="301">
        <v>15</v>
      </c>
      <c r="W38" s="301">
        <v>16</v>
      </c>
      <c r="X38" s="301">
        <v>17</v>
      </c>
      <c r="Y38" s="301">
        <v>18</v>
      </c>
      <c r="Z38" s="302">
        <v>19</v>
      </c>
    </row>
    <row r="39" spans="1:26">
      <c r="A39" s="2"/>
      <c r="B39" s="303" t="s">
        <v>398</v>
      </c>
      <c r="G39" s="1"/>
      <c r="H39" s="223">
        <f t="shared" ref="H39:Z39" si="12">IF(H31&lt;0,1,IF(H30=0,0,-G31/H30))</f>
        <v>1</v>
      </c>
      <c r="I39" s="223">
        <f t="shared" si="12"/>
        <v>1</v>
      </c>
      <c r="J39" s="223">
        <f t="shared" si="12"/>
        <v>1</v>
      </c>
      <c r="K39" s="223">
        <f t="shared" si="12"/>
        <v>0.67188616516652955</v>
      </c>
      <c r="L39" s="223">
        <f t="shared" si="12"/>
        <v>-0.30963702264764209</v>
      </c>
      <c r="M39" s="223">
        <f t="shared" si="12"/>
        <v>-1.2371827212974651</v>
      </c>
      <c r="N39" s="223">
        <f t="shared" si="12"/>
        <v>-2.1075727217491864</v>
      </c>
      <c r="O39" s="223">
        <f t="shared" si="12"/>
        <v>-2.9288558295085156</v>
      </c>
      <c r="P39" s="223">
        <f t="shared" si="12"/>
        <v>-3.7030697463178406</v>
      </c>
      <c r="Q39" s="223">
        <f t="shared" si="12"/>
        <v>-4.4326282541580486</v>
      </c>
      <c r="R39" s="223">
        <f t="shared" si="12"/>
        <v>-5.1277961806300869</v>
      </c>
      <c r="S39" s="223">
        <f t="shared" si="12"/>
        <v>-5.7864687900134379</v>
      </c>
      <c r="T39" s="223">
        <f t="shared" si="12"/>
        <v>-6.4107219464094465</v>
      </c>
      <c r="U39" s="223">
        <f t="shared" si="12"/>
        <v>-7.001218141686592</v>
      </c>
      <c r="V39" s="223">
        <f t="shared" si="12"/>
        <v>-7.5430804512022567</v>
      </c>
      <c r="W39" s="223">
        <f t="shared" si="12"/>
        <v>-8.0535928842014801</v>
      </c>
      <c r="X39" s="223">
        <f t="shared" si="12"/>
        <v>-8.5358643186334788</v>
      </c>
      <c r="Y39" s="223">
        <f t="shared" si="12"/>
        <v>-8.9958651289353551</v>
      </c>
      <c r="Z39" s="306">
        <f t="shared" si="12"/>
        <v>-9.4368287575920107</v>
      </c>
    </row>
    <row r="40" spans="1:26">
      <c r="A40" s="63"/>
      <c r="B40" s="303" t="s">
        <v>399</v>
      </c>
      <c r="G40" s="1"/>
      <c r="H40" s="223">
        <f t="shared" ref="H40:Z40" si="13">IF(H31&lt;0,1,IF(H29=0,0,-G31/H29))</f>
        <v>1</v>
      </c>
      <c r="I40" s="223">
        <f t="shared" si="13"/>
        <v>1</v>
      </c>
      <c r="J40" s="223">
        <f t="shared" si="13"/>
        <v>1</v>
      </c>
      <c r="K40" s="223">
        <f t="shared" si="13"/>
        <v>0.98370853442031625</v>
      </c>
      <c r="L40" s="223">
        <f t="shared" si="13"/>
        <v>-0.49867352134425424</v>
      </c>
      <c r="M40" s="223">
        <f t="shared" si="13"/>
        <v>-2.1917446589244598</v>
      </c>
      <c r="N40" s="223">
        <f t="shared" si="13"/>
        <v>-4.1070630023661838</v>
      </c>
      <c r="O40" s="223">
        <f t="shared" si="13"/>
        <v>-6.2782625822377263</v>
      </c>
      <c r="P40" s="223">
        <f t="shared" si="13"/>
        <v>-8.7316447579421155</v>
      </c>
      <c r="Q40" s="223">
        <f t="shared" si="13"/>
        <v>-11.497096112648673</v>
      </c>
      <c r="R40" s="223">
        <f t="shared" si="13"/>
        <v>-14.630200948482766</v>
      </c>
      <c r="S40" s="223">
        <f t="shared" si="13"/>
        <v>-18.160417851588626</v>
      </c>
      <c r="T40" s="223">
        <f t="shared" si="13"/>
        <v>-22.131550839067462</v>
      </c>
      <c r="U40" s="223">
        <f t="shared" si="13"/>
        <v>-26.587114241854543</v>
      </c>
      <c r="V40" s="223">
        <f t="shared" si="13"/>
        <v>-31.509319006539652</v>
      </c>
      <c r="W40" s="223">
        <f t="shared" si="13"/>
        <v>-37.00604174602455</v>
      </c>
      <c r="X40" s="223">
        <f t="shared" si="13"/>
        <v>-43.144272555264465</v>
      </c>
      <c r="Y40" s="223">
        <f t="shared" si="13"/>
        <v>-50.016266280208789</v>
      </c>
      <c r="Z40" s="306">
        <f t="shared" si="13"/>
        <v>-57.714786353177011</v>
      </c>
    </row>
    <row r="41" spans="1:26">
      <c r="A41" s="2"/>
      <c r="B41" s="303" t="s">
        <v>400</v>
      </c>
      <c r="G41" s="1"/>
      <c r="H41" s="296">
        <f>IF(H39&gt;0,H39,0)</f>
        <v>1</v>
      </c>
      <c r="I41" s="296">
        <f t="shared" ref="I41:Z42" si="14">IF(I39&gt;0,I39,0)</f>
        <v>1</v>
      </c>
      <c r="J41" s="296">
        <f t="shared" si="14"/>
        <v>1</v>
      </c>
      <c r="K41" s="296">
        <f t="shared" si="14"/>
        <v>0.67188616516652955</v>
      </c>
      <c r="L41" s="296">
        <f t="shared" si="14"/>
        <v>0</v>
      </c>
      <c r="M41" s="296">
        <f t="shared" si="14"/>
        <v>0</v>
      </c>
      <c r="N41" s="296">
        <f t="shared" si="14"/>
        <v>0</v>
      </c>
      <c r="O41" s="296">
        <f t="shared" si="14"/>
        <v>0</v>
      </c>
      <c r="P41" s="296">
        <f t="shared" si="14"/>
        <v>0</v>
      </c>
      <c r="Q41" s="296">
        <f t="shared" si="14"/>
        <v>0</v>
      </c>
      <c r="R41" s="296">
        <f t="shared" si="14"/>
        <v>0</v>
      </c>
      <c r="S41" s="296">
        <f t="shared" si="14"/>
        <v>0</v>
      </c>
      <c r="T41" s="296">
        <f t="shared" si="14"/>
        <v>0</v>
      </c>
      <c r="U41" s="296">
        <f t="shared" si="14"/>
        <v>0</v>
      </c>
      <c r="V41" s="296">
        <f t="shared" si="14"/>
        <v>0</v>
      </c>
      <c r="W41" s="296">
        <f t="shared" si="14"/>
        <v>0</v>
      </c>
      <c r="X41" s="296">
        <f t="shared" si="14"/>
        <v>0</v>
      </c>
      <c r="Y41" s="296">
        <f t="shared" si="14"/>
        <v>0</v>
      </c>
      <c r="Z41" s="297">
        <f t="shared" si="14"/>
        <v>0</v>
      </c>
    </row>
    <row r="42" spans="1:26">
      <c r="A42" s="224"/>
      <c r="B42" s="295" t="s">
        <v>401</v>
      </c>
      <c r="C42" s="225"/>
      <c r="D42" s="225"/>
      <c r="E42" s="225"/>
      <c r="F42" s="225"/>
      <c r="G42" s="225"/>
      <c r="H42" s="304">
        <f>IF(H40&gt;0,H40,0)</f>
        <v>1</v>
      </c>
      <c r="I42" s="304">
        <f t="shared" si="14"/>
        <v>1</v>
      </c>
      <c r="J42" s="304">
        <f t="shared" si="14"/>
        <v>1</v>
      </c>
      <c r="K42" s="304">
        <f t="shared" si="14"/>
        <v>0.98370853442031625</v>
      </c>
      <c r="L42" s="304">
        <f t="shared" si="14"/>
        <v>0</v>
      </c>
      <c r="M42" s="304">
        <f t="shared" si="14"/>
        <v>0</v>
      </c>
      <c r="N42" s="304">
        <f t="shared" si="14"/>
        <v>0</v>
      </c>
      <c r="O42" s="304">
        <f t="shared" si="14"/>
        <v>0</v>
      </c>
      <c r="P42" s="304">
        <f t="shared" si="14"/>
        <v>0</v>
      </c>
      <c r="Q42" s="304">
        <f t="shared" si="14"/>
        <v>0</v>
      </c>
      <c r="R42" s="304">
        <f t="shared" si="14"/>
        <v>0</v>
      </c>
      <c r="S42" s="304">
        <f t="shared" si="14"/>
        <v>0</v>
      </c>
      <c r="T42" s="304">
        <f t="shared" si="14"/>
        <v>0</v>
      </c>
      <c r="U42" s="304">
        <f t="shared" si="14"/>
        <v>0</v>
      </c>
      <c r="V42" s="304">
        <f t="shared" si="14"/>
        <v>0</v>
      </c>
      <c r="W42" s="304">
        <f t="shared" si="14"/>
        <v>0</v>
      </c>
      <c r="X42" s="304">
        <f t="shared" si="14"/>
        <v>0</v>
      </c>
      <c r="Y42" s="304">
        <f t="shared" si="14"/>
        <v>0</v>
      </c>
      <c r="Z42" s="305">
        <f t="shared" si="14"/>
        <v>0</v>
      </c>
    </row>
    <row r="43" spans="1:26">
      <c r="C43" s="163"/>
      <c r="D43" s="163"/>
      <c r="E43" s="163"/>
      <c r="F43" s="163"/>
    </row>
    <row r="44" spans="1:26">
      <c r="C44" s="163"/>
      <c r="D44" s="163"/>
      <c r="E44" s="163"/>
      <c r="F44" s="163"/>
    </row>
    <row r="45" spans="1:26">
      <c r="C45" s="163"/>
      <c r="D45" s="163"/>
      <c r="E45" s="163"/>
      <c r="F45" s="163"/>
    </row>
    <row r="46" spans="1:26">
      <c r="C46" s="163"/>
      <c r="D46" s="163"/>
      <c r="E46" s="163"/>
      <c r="F46" s="163"/>
    </row>
    <row r="47" spans="1:26">
      <c r="C47" s="163"/>
      <c r="D47" s="163"/>
      <c r="E47" s="163"/>
      <c r="F47" s="163"/>
    </row>
    <row r="48" spans="1:26">
      <c r="C48" s="163"/>
      <c r="D48" s="163"/>
      <c r="E48" s="163"/>
      <c r="F48" s="163"/>
    </row>
    <row r="49" spans="1:26">
      <c r="C49" s="163"/>
      <c r="D49" s="163"/>
      <c r="E49" s="163"/>
      <c r="F49" s="163"/>
    </row>
    <row r="50" spans="1:26">
      <c r="A50" s="286"/>
      <c r="B50" s="287" t="s">
        <v>389</v>
      </c>
      <c r="C50" s="287"/>
      <c r="D50" s="287"/>
      <c r="E50" s="287"/>
      <c r="F50" s="287"/>
      <c r="G50" s="287"/>
      <c r="H50" s="158">
        <f t="shared" ref="H50:Z50" si="15">H11/(500000*H3)*10^7</f>
        <v>74749.509166666656</v>
      </c>
      <c r="I50" s="158">
        <f t="shared" si="15"/>
        <v>79050.595924116642</v>
      </c>
      <c r="J50" s="158">
        <f t="shared" si="15"/>
        <v>83599.167213590306</v>
      </c>
      <c r="K50" s="158">
        <f t="shared" si="15"/>
        <v>88409.463295060312</v>
      </c>
      <c r="L50" s="158">
        <f t="shared" si="15"/>
        <v>93496.54381305803</v>
      </c>
      <c r="M50" s="158">
        <f t="shared" si="15"/>
        <v>98876.334944061411</v>
      </c>
      <c r="N50" s="158">
        <f t="shared" si="15"/>
        <v>104565.67925674267</v>
      </c>
      <c r="O50" s="158">
        <f t="shared" si="15"/>
        <v>110582.38844117564</v>
      </c>
      <c r="P50" s="158">
        <f t="shared" si="15"/>
        <v>116945.29907208087</v>
      </c>
      <c r="Q50" s="158">
        <f t="shared" si="15"/>
        <v>123674.33158068838</v>
      </c>
      <c r="R50" s="158">
        <f t="shared" si="15"/>
        <v>130790.55261984114</v>
      </c>
      <c r="S50" s="158">
        <f t="shared" si="15"/>
        <v>138316.24101758684</v>
      </c>
      <c r="T50" s="158">
        <f t="shared" si="15"/>
        <v>146274.95752573875</v>
      </c>
      <c r="U50" s="158">
        <f t="shared" si="15"/>
        <v>154691.61858176976</v>
      </c>
      <c r="V50" s="158">
        <f t="shared" si="15"/>
        <v>163592.57431496476</v>
      </c>
      <c r="W50" s="158">
        <f t="shared" si="15"/>
        <v>173005.69104104786</v>
      </c>
      <c r="X50" s="158">
        <f t="shared" si="15"/>
        <v>182960.43850354973</v>
      </c>
      <c r="Y50" s="158">
        <f t="shared" si="15"/>
        <v>193487.98213504392</v>
      </c>
      <c r="Z50" s="158">
        <f t="shared" si="15"/>
        <v>204621.2806270943</v>
      </c>
    </row>
    <row r="51" spans="1:26" s="32" customFormat="1">
      <c r="A51" s="2"/>
      <c r="B51" s="1" t="s">
        <v>390</v>
      </c>
      <c r="C51" s="1"/>
      <c r="D51" s="1"/>
      <c r="E51" s="1"/>
      <c r="F51" s="1"/>
      <c r="G51" s="1"/>
      <c r="H51" s="75">
        <f>H21/(500000*H3)*10^7</f>
        <v>43741.843280189831</v>
      </c>
      <c r="I51" s="75">
        <f>I21/(500000*I3)*10^7</f>
        <v>43153.767830792567</v>
      </c>
      <c r="J51" s="75">
        <f t="shared" ref="J51:Z51" si="16">J21/(500000)*10^7</f>
        <v>44435.504351320407</v>
      </c>
      <c r="K51" s="75">
        <f t="shared" si="16"/>
        <v>46895.2497581715</v>
      </c>
      <c r="L51" s="75">
        <f t="shared" si="16"/>
        <v>49505.073777561345</v>
      </c>
      <c r="M51" s="75">
        <f t="shared" si="16"/>
        <v>52308.550858974304</v>
      </c>
      <c r="N51" s="75">
        <f t="shared" si="16"/>
        <v>55134.10289917676</v>
      </c>
      <c r="O51" s="75">
        <f t="shared" si="16"/>
        <v>58134.529200657424</v>
      </c>
      <c r="P51" s="75">
        <f t="shared" si="16"/>
        <v>61299.553342541592</v>
      </c>
      <c r="Q51" s="75">
        <f t="shared" si="16"/>
        <v>64633.553007299794</v>
      </c>
      <c r="R51" s="75">
        <f t="shared" si="16"/>
        <v>68239.977182213741</v>
      </c>
      <c r="S51" s="75">
        <f t="shared" si="16"/>
        <v>72075.984451368116</v>
      </c>
      <c r="T51" s="75">
        <f t="shared" si="16"/>
        <v>76152.210417528026</v>
      </c>
      <c r="U51" s="75">
        <f t="shared" si="16"/>
        <v>80467.366398684535</v>
      </c>
      <c r="V51" s="75">
        <f t="shared" si="16"/>
        <v>84860.226574226341</v>
      </c>
      <c r="W51" s="75">
        <f t="shared" si="16"/>
        <v>89488.087093049093</v>
      </c>
      <c r="X51" s="75">
        <f t="shared" si="16"/>
        <v>94377.214053912481</v>
      </c>
      <c r="Y51" s="75">
        <f t="shared" si="16"/>
        <v>99587.329207095114</v>
      </c>
      <c r="Z51" s="75">
        <f t="shared" si="16"/>
        <v>105157.9665946532</v>
      </c>
    </row>
    <row r="52" spans="1:26" s="32" customFormat="1">
      <c r="A52" s="224"/>
      <c r="B52" s="225" t="s">
        <v>391</v>
      </c>
      <c r="C52" s="225"/>
      <c r="D52" s="225"/>
      <c r="E52" s="225"/>
      <c r="F52" s="225"/>
      <c r="G52" s="225"/>
      <c r="H52" s="289">
        <f>H50-H51</f>
        <v>31007.665886476825</v>
      </c>
      <c r="I52" s="289">
        <f t="shared" ref="I52:Z52" si="17">I50-I51</f>
        <v>35896.828093324075</v>
      </c>
      <c r="J52" s="289">
        <f t="shared" si="17"/>
        <v>39163.662862269899</v>
      </c>
      <c r="K52" s="289">
        <f t="shared" si="17"/>
        <v>41514.213536888812</v>
      </c>
      <c r="L52" s="289">
        <f t="shared" si="17"/>
        <v>43991.470035496684</v>
      </c>
      <c r="M52" s="289">
        <f t="shared" si="17"/>
        <v>46567.784085087107</v>
      </c>
      <c r="N52" s="289">
        <f t="shared" si="17"/>
        <v>49431.576357565915</v>
      </c>
      <c r="O52" s="289">
        <f t="shared" si="17"/>
        <v>52447.859240518221</v>
      </c>
      <c r="P52" s="289">
        <f t="shared" si="17"/>
        <v>55645.745729539281</v>
      </c>
      <c r="Q52" s="289">
        <f t="shared" si="17"/>
        <v>59040.778573388583</v>
      </c>
      <c r="R52" s="289">
        <f t="shared" si="17"/>
        <v>62550.575437627398</v>
      </c>
      <c r="S52" s="289">
        <f t="shared" si="17"/>
        <v>66240.256566218726</v>
      </c>
      <c r="T52" s="289">
        <f t="shared" si="17"/>
        <v>70122.747108210722</v>
      </c>
      <c r="U52" s="289">
        <f t="shared" si="17"/>
        <v>74224.25218308522</v>
      </c>
      <c r="V52" s="289">
        <f t="shared" si="17"/>
        <v>78732.34774073842</v>
      </c>
      <c r="W52" s="289">
        <f t="shared" si="17"/>
        <v>83517.603947998767</v>
      </c>
      <c r="X52" s="289">
        <f t="shared" si="17"/>
        <v>88583.224449637244</v>
      </c>
      <c r="Y52" s="289">
        <f t="shared" si="17"/>
        <v>93900.652927948802</v>
      </c>
      <c r="Z52" s="42">
        <f t="shared" si="17"/>
        <v>99463.314032441092</v>
      </c>
    </row>
    <row r="53" spans="1:26" s="32" customFormat="1">
      <c r="A53" s="58"/>
      <c r="C53" s="1"/>
      <c r="D53" s="1"/>
      <c r="E53" s="1"/>
      <c r="F53" s="1"/>
      <c r="G53" s="58"/>
      <c r="H53" s="617">
        <f>H52/H50</f>
        <v>0.41482099658126176</v>
      </c>
      <c r="L53" s="226"/>
      <c r="M53" s="226"/>
      <c r="N53" s="226"/>
      <c r="O53" s="226"/>
      <c r="P53" s="226"/>
      <c r="Q53" s="226"/>
    </row>
    <row r="54" spans="1:26" s="32" customFormat="1">
      <c r="A54" s="58"/>
      <c r="C54" s="1"/>
      <c r="D54" s="1"/>
      <c r="E54" s="1"/>
      <c r="F54" s="1"/>
      <c r="G54" s="58"/>
    </row>
    <row r="55" spans="1:26" s="32" customFormat="1">
      <c r="A55" s="58"/>
      <c r="B55" s="227" t="s">
        <v>395</v>
      </c>
      <c r="C55" s="228">
        <v>4.4999999999999998E-2</v>
      </c>
      <c r="D55" s="1"/>
      <c r="E55" s="1"/>
      <c r="F55" s="1"/>
      <c r="G55" s="58"/>
    </row>
    <row r="56" spans="1:26" s="32" customFormat="1">
      <c r="A56" s="58"/>
      <c r="B56" s="227" t="s">
        <v>346</v>
      </c>
      <c r="C56" s="230">
        <v>4</v>
      </c>
      <c r="D56" s="1"/>
      <c r="E56" s="1"/>
      <c r="F56" s="1"/>
      <c r="G56" s="58"/>
    </row>
    <row r="57" spans="1:26" s="32" customFormat="1" ht="14.45" customHeight="1">
      <c r="A57" s="58"/>
      <c r="C57" s="1"/>
      <c r="D57" s="1"/>
      <c r="E57" s="1"/>
      <c r="F57" s="1"/>
      <c r="G57" s="58"/>
    </row>
    <row r="58" spans="1:26" s="32" customFormat="1">
      <c r="A58" s="58"/>
      <c r="B58" s="1"/>
      <c r="C58" s="1"/>
      <c r="D58" s="1"/>
      <c r="E58" s="1"/>
      <c r="F58" s="1"/>
      <c r="G58" s="58"/>
    </row>
    <row r="61" spans="1:26" s="32" customFormat="1">
      <c r="A61" s="58"/>
      <c r="B61" s="1"/>
      <c r="E61" s="1"/>
      <c r="F61" s="1"/>
      <c r="G61" s="58"/>
      <c r="I61" s="226"/>
      <c r="J61" s="226"/>
      <c r="K61" s="226"/>
      <c r="L61" s="226"/>
      <c r="M61" s="226"/>
      <c r="N61" s="226"/>
      <c r="P61" s="226"/>
    </row>
    <row r="62" spans="1:26" s="32" customFormat="1">
      <c r="A62" s="58"/>
      <c r="B62" s="1"/>
      <c r="E62" s="1"/>
      <c r="F62" s="1"/>
      <c r="G62" s="58"/>
      <c r="I62" s="229"/>
      <c r="J62" s="1083"/>
      <c r="K62" s="1083"/>
      <c r="L62" s="1083"/>
      <c r="M62" s="1083"/>
      <c r="N62" s="1083"/>
    </row>
    <row r="63" spans="1:26" s="32" customFormat="1">
      <c r="A63" s="58"/>
      <c r="B63" s="1"/>
      <c r="E63" s="1"/>
      <c r="F63" s="1"/>
      <c r="G63" s="58"/>
      <c r="I63" s="226"/>
      <c r="J63" s="226"/>
      <c r="K63" s="226"/>
      <c r="L63" s="226"/>
      <c r="M63" s="226"/>
      <c r="N63" s="226"/>
      <c r="P63" s="226"/>
    </row>
    <row r="64" spans="1:26" s="32" customFormat="1">
      <c r="A64" s="58"/>
      <c r="B64" s="1"/>
      <c r="E64" s="1"/>
      <c r="F64" s="1"/>
      <c r="G64" s="58"/>
      <c r="I64" s="226"/>
      <c r="J64" s="226"/>
      <c r="K64" s="226"/>
      <c r="L64" s="226"/>
      <c r="M64" s="226"/>
      <c r="N64" s="226"/>
      <c r="P64" s="226"/>
    </row>
    <row r="65" spans="1:16" s="32" customFormat="1">
      <c r="A65" s="58"/>
      <c r="B65" s="1"/>
      <c r="C65" s="1"/>
      <c r="D65" s="1"/>
      <c r="E65" s="1"/>
      <c r="F65" s="1"/>
      <c r="G65" s="58"/>
      <c r="I65" s="229"/>
      <c r="J65" s="1083"/>
      <c r="K65" s="1083"/>
      <c r="L65" s="1083"/>
      <c r="M65" s="1083"/>
      <c r="N65" s="1083"/>
    </row>
    <row r="66" spans="1:16" s="32" customFormat="1">
      <c r="A66" s="58"/>
      <c r="B66" s="1"/>
      <c r="C66" s="1"/>
      <c r="D66" s="1"/>
      <c r="E66" s="1"/>
      <c r="F66" s="1"/>
      <c r="G66" s="58"/>
      <c r="I66" s="226"/>
      <c r="J66" s="226"/>
      <c r="K66" s="226"/>
      <c r="L66" s="226"/>
      <c r="M66" s="226"/>
      <c r="N66" s="226"/>
      <c r="P66" s="226"/>
    </row>
    <row r="67" spans="1:16" s="32" customFormat="1">
      <c r="A67" s="58"/>
      <c r="B67" s="1"/>
      <c r="C67" s="1"/>
      <c r="D67" s="1"/>
      <c r="E67" s="1"/>
      <c r="F67" s="1"/>
      <c r="G67" s="58"/>
      <c r="I67" s="226"/>
      <c r="J67" s="226"/>
      <c r="K67" s="226"/>
      <c r="L67" s="226"/>
      <c r="M67" s="226"/>
      <c r="N67" s="226"/>
      <c r="P67" s="226"/>
    </row>
    <row r="68" spans="1:16" s="32" customFormat="1">
      <c r="A68" s="58"/>
      <c r="B68" s="1"/>
      <c r="C68" s="1"/>
      <c r="D68" s="1"/>
      <c r="E68" s="1"/>
      <c r="F68" s="1"/>
      <c r="G68" s="58"/>
      <c r="I68" s="229"/>
      <c r="J68" s="1083"/>
      <c r="K68" s="1083"/>
      <c r="L68" s="1083"/>
      <c r="M68" s="1083"/>
      <c r="N68" s="1083"/>
    </row>
    <row r="69" spans="1:16" s="32" customFormat="1">
      <c r="A69" s="58"/>
      <c r="B69" s="1"/>
      <c r="C69" s="1"/>
      <c r="D69" s="1"/>
      <c r="E69" s="1"/>
      <c r="F69" s="1"/>
      <c r="G69" s="58"/>
      <c r="I69" s="226"/>
      <c r="J69" s="226"/>
      <c r="K69" s="226"/>
      <c r="L69" s="226"/>
      <c r="M69" s="226"/>
      <c r="N69" s="226"/>
      <c r="P69" s="226"/>
    </row>
    <row r="70" spans="1:16" s="32" customFormat="1">
      <c r="A70" s="58"/>
      <c r="B70" s="1"/>
      <c r="C70" s="1"/>
      <c r="D70" s="1"/>
      <c r="E70" s="1"/>
      <c r="F70" s="1"/>
      <c r="G70" s="58"/>
      <c r="I70" s="226"/>
      <c r="J70" s="226"/>
      <c r="K70" s="226"/>
      <c r="L70" s="226"/>
      <c r="M70" s="226"/>
      <c r="N70" s="226"/>
      <c r="P70" s="226"/>
    </row>
    <row r="81" spans="1:13" s="32" customFormat="1">
      <c r="A81" s="58"/>
      <c r="B81" s="1"/>
      <c r="C81" s="1"/>
      <c r="D81" s="1"/>
      <c r="E81" s="1"/>
      <c r="F81" s="1"/>
      <c r="G81" s="58"/>
      <c r="H81" s="199"/>
      <c r="I81" s="199"/>
      <c r="J81" s="199"/>
      <c r="K81" s="199"/>
      <c r="L81" s="199"/>
      <c r="M81" s="199"/>
    </row>
    <row r="82" spans="1:13" s="32" customFormat="1">
      <c r="A82" s="58"/>
      <c r="B82" s="1"/>
      <c r="C82" s="1"/>
      <c r="D82" s="1"/>
      <c r="E82" s="1"/>
      <c r="F82" s="1"/>
      <c r="G82" s="58"/>
      <c r="H82" s="231"/>
      <c r="I82" s="231"/>
      <c r="J82" s="231"/>
      <c r="K82" s="231"/>
      <c r="L82" s="231"/>
      <c r="M82" s="231"/>
    </row>
    <row r="83" spans="1:13" s="32" customFormat="1">
      <c r="A83" s="58"/>
      <c r="B83" s="1"/>
      <c r="C83" s="1"/>
      <c r="D83" s="1"/>
      <c r="E83" s="1"/>
      <c r="F83" s="1"/>
      <c r="G83" s="58"/>
      <c r="H83" s="231"/>
      <c r="I83" s="231"/>
      <c r="J83" s="231"/>
      <c r="K83" s="231"/>
      <c r="L83" s="231"/>
      <c r="M83" s="231"/>
    </row>
  </sheetData>
  <mergeCells count="11">
    <mergeCell ref="R4:Z4"/>
    <mergeCell ref="B5:B6"/>
    <mergeCell ref="A7:G7"/>
    <mergeCell ref="A1:F1"/>
    <mergeCell ref="J62:N62"/>
    <mergeCell ref="J65:N65"/>
    <mergeCell ref="J68:N68"/>
    <mergeCell ref="A2:B2"/>
    <mergeCell ref="A3:B3"/>
    <mergeCell ref="A4:A6"/>
    <mergeCell ref="H4:Q4"/>
  </mergeCells>
  <hyperlinks>
    <hyperlink ref="B34" r:id="rId1" display="NPV@12%" xr:uid="{1AFE0B94-A956-40F1-B1E9-5DA5181175AF}"/>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F6B5-9145-49C2-BDDE-538B2A6E6979}">
  <sheetPr codeName="Sheet12"/>
  <dimension ref="A1:AA81"/>
  <sheetViews>
    <sheetView showGridLines="0" zoomScale="96" zoomScaleNormal="96" workbookViewId="0">
      <pane ySplit="8" topLeftCell="A27" activePane="bottomLeft" state="frozen"/>
      <selection activeCell="G10" sqref="G10"/>
      <selection pane="bottomLeft" activeCell="D26" sqref="D26"/>
    </sheetView>
  </sheetViews>
  <sheetFormatPr defaultColWidth="8.7109375" defaultRowHeight="12.75"/>
  <cols>
    <col min="1" max="1" width="8.85546875" style="58" bestFit="1" customWidth="1"/>
    <col min="2" max="2" width="60" style="1" bestFit="1" customWidth="1"/>
    <col min="3" max="3" width="21.28515625" style="1" bestFit="1" customWidth="1"/>
    <col min="4" max="4" width="8.140625" style="1" customWidth="1"/>
    <col min="5" max="5" width="20" style="1" bestFit="1" customWidth="1"/>
    <col min="6" max="6" width="45.5703125" style="1" customWidth="1"/>
    <col min="7" max="7" width="10.7109375" style="58"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7" ht="12.75" customHeight="1">
      <c r="A1" s="1092" t="str">
        <f>'Opex PVC'!A43</f>
        <v>Capacity for 500 KTPA PVC Resin (EDC / VCM to PVC Plant (EDC / VCM Outsourced)</v>
      </c>
      <c r="B1" s="1093"/>
      <c r="C1" s="1093"/>
      <c r="D1" s="1093"/>
      <c r="E1" s="1093"/>
      <c r="F1" s="1094"/>
    </row>
    <row r="2" spans="1:27" s="167" customFormat="1" ht="15" customHeight="1">
      <c r="A2" s="1079" t="s">
        <v>440</v>
      </c>
      <c r="B2" s="108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7" s="167" customFormat="1" ht="15" customHeight="1">
      <c r="A3" s="1088" t="s">
        <v>221</v>
      </c>
      <c r="B3" s="108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7">
      <c r="A4" s="1086"/>
      <c r="B4" s="169" t="s">
        <v>24</v>
      </c>
      <c r="C4" s="169"/>
      <c r="D4" s="169"/>
      <c r="E4" s="169"/>
      <c r="F4" s="169"/>
      <c r="G4" s="169"/>
      <c r="H4" s="1078" t="s">
        <v>25</v>
      </c>
      <c r="I4" s="1078"/>
      <c r="J4" s="1078"/>
      <c r="K4" s="1078"/>
      <c r="L4" s="1078"/>
      <c r="M4" s="1078"/>
      <c r="N4" s="1078"/>
      <c r="O4" s="1078"/>
      <c r="P4" s="1078"/>
      <c r="Q4" s="1078"/>
      <c r="R4" s="1078" t="s">
        <v>25</v>
      </c>
      <c r="S4" s="1078"/>
      <c r="T4" s="1078"/>
      <c r="U4" s="1078"/>
      <c r="V4" s="1078"/>
      <c r="W4" s="1078"/>
      <c r="X4" s="1078"/>
      <c r="Y4" s="1078"/>
      <c r="Z4" s="1078"/>
    </row>
    <row r="5" spans="1:27">
      <c r="A5" s="1090"/>
      <c r="B5" s="1081" t="s">
        <v>26</v>
      </c>
      <c r="C5" s="171">
        <v>2023</v>
      </c>
      <c r="D5" s="171">
        <v>2024</v>
      </c>
      <c r="E5" s="171">
        <v>2025</v>
      </c>
      <c r="F5" s="171">
        <v>2026</v>
      </c>
      <c r="G5" s="171" t="s">
        <v>150</v>
      </c>
      <c r="H5" s="171">
        <v>2027</v>
      </c>
      <c r="I5" s="171">
        <v>2028</v>
      </c>
      <c r="J5" s="171">
        <v>2029</v>
      </c>
      <c r="K5" s="171">
        <v>2030</v>
      </c>
      <c r="L5" s="171">
        <v>2031</v>
      </c>
      <c r="M5" s="171">
        <v>2032</v>
      </c>
      <c r="N5" s="171">
        <v>2033</v>
      </c>
      <c r="O5" s="171">
        <v>2034</v>
      </c>
      <c r="P5" s="171">
        <v>2035</v>
      </c>
      <c r="Q5" s="171">
        <v>2036</v>
      </c>
      <c r="R5" s="171">
        <v>2037</v>
      </c>
      <c r="S5" s="171">
        <v>2038</v>
      </c>
      <c r="T5" s="171">
        <v>2039</v>
      </c>
      <c r="U5" s="171">
        <v>2040</v>
      </c>
      <c r="V5" s="171">
        <v>2041</v>
      </c>
      <c r="W5" s="171">
        <v>2042</v>
      </c>
      <c r="X5" s="171">
        <v>2043</v>
      </c>
      <c r="Y5" s="171">
        <v>2044</v>
      </c>
      <c r="Z5" s="171">
        <v>2045</v>
      </c>
    </row>
    <row r="6" spans="1:27">
      <c r="A6" s="1091"/>
      <c r="B6" s="1082"/>
      <c r="C6" s="172">
        <v>0.05</v>
      </c>
      <c r="D6" s="172">
        <v>0.25</v>
      </c>
      <c r="E6" s="172">
        <v>0.35</v>
      </c>
      <c r="F6" s="172">
        <v>0.35</v>
      </c>
      <c r="G6" s="172"/>
      <c r="H6" s="174"/>
      <c r="I6" s="174"/>
      <c r="J6" s="174"/>
      <c r="K6" s="174"/>
      <c r="L6" s="174"/>
      <c r="M6" s="174"/>
      <c r="N6" s="175"/>
      <c r="O6" s="174"/>
      <c r="P6" s="175"/>
      <c r="Q6" s="174"/>
      <c r="R6" s="176"/>
      <c r="S6" s="176"/>
      <c r="T6" s="176"/>
      <c r="U6" s="176"/>
      <c r="V6" s="176"/>
      <c r="W6" s="176"/>
      <c r="X6" s="176"/>
      <c r="Y6" s="176"/>
      <c r="Z6" s="176"/>
    </row>
    <row r="7" spans="1:27" ht="19.5" customHeight="1">
      <c r="A7" s="1084" t="s">
        <v>241</v>
      </c>
      <c r="B7" s="1085"/>
      <c r="C7" s="1085"/>
      <c r="D7" s="1085"/>
      <c r="E7" s="1085"/>
      <c r="F7" s="1085"/>
      <c r="G7" s="1085"/>
      <c r="H7" s="177"/>
      <c r="I7" s="177"/>
      <c r="J7" s="177"/>
      <c r="K7" s="177"/>
      <c r="L7" s="177"/>
      <c r="M7" s="177"/>
      <c r="N7" s="178"/>
      <c r="O7" s="177"/>
      <c r="P7" s="178"/>
      <c r="Q7" s="177"/>
      <c r="R7" s="179"/>
      <c r="S7" s="179"/>
      <c r="T7" s="179"/>
      <c r="U7" s="179"/>
      <c r="V7" s="179"/>
      <c r="W7" s="179"/>
      <c r="X7" s="179"/>
      <c r="Y7" s="179"/>
      <c r="Z7" s="179"/>
    </row>
    <row r="8" spans="1:27" ht="21.75" customHeight="1">
      <c r="A8" s="180">
        <v>1</v>
      </c>
      <c r="B8" s="181" t="s">
        <v>239</v>
      </c>
      <c r="C8" s="182">
        <f>ROUND($G8*C$6,2)</f>
        <v>221.38</v>
      </c>
      <c r="D8" s="182">
        <f>ROUND($G8*D$6,2)</f>
        <v>1106.8800000000001</v>
      </c>
      <c r="E8" s="182">
        <f>ROUND($G8*E$6,2)</f>
        <v>1549.63</v>
      </c>
      <c r="F8" s="182">
        <f>ROUND($G8*F$6,2)</f>
        <v>1549.63</v>
      </c>
      <c r="G8" s="339">
        <f>Capex!L21</f>
        <v>4427.5</v>
      </c>
      <c r="H8" s="183"/>
      <c r="I8" s="184"/>
      <c r="J8" s="183"/>
      <c r="K8" s="183"/>
      <c r="L8" s="183"/>
      <c r="M8" s="183"/>
      <c r="N8" s="185"/>
      <c r="O8" s="183"/>
      <c r="P8" s="183"/>
      <c r="Q8" s="183"/>
      <c r="R8" s="186"/>
      <c r="S8" s="186"/>
      <c r="T8" s="186"/>
      <c r="U8" s="186"/>
      <c r="V8" s="186"/>
      <c r="W8" s="186"/>
      <c r="X8" s="186"/>
      <c r="Y8" s="186"/>
      <c r="Z8" s="186"/>
    </row>
    <row r="9" spans="1:27" s="167" customFormat="1" ht="25.5" customHeight="1">
      <c r="A9" s="187"/>
      <c r="B9" s="188" t="s">
        <v>240</v>
      </c>
      <c r="C9" s="189">
        <f>SUM(C8:C8)</f>
        <v>221.38</v>
      </c>
      <c r="D9" s="189">
        <f>SUM(D8:D8)</f>
        <v>1106.8800000000001</v>
      </c>
      <c r="E9" s="189">
        <f>SUM(E8:E8)</f>
        <v>1549.63</v>
      </c>
      <c r="F9" s="189">
        <f>SUM(F8:F8)</f>
        <v>1549.63</v>
      </c>
      <c r="G9" s="242">
        <f>-G8</f>
        <v>-4427.5</v>
      </c>
      <c r="H9" s="243"/>
      <c r="I9" s="191"/>
      <c r="J9" s="191"/>
      <c r="K9" s="191"/>
      <c r="L9" s="191"/>
      <c r="M9" s="191"/>
      <c r="N9" s="192"/>
      <c r="O9" s="192"/>
      <c r="P9" s="192"/>
      <c r="Q9" s="192"/>
      <c r="R9" s="193"/>
      <c r="S9" s="193"/>
      <c r="T9" s="193"/>
      <c r="U9" s="193"/>
      <c r="V9" s="193"/>
      <c r="W9" s="193"/>
      <c r="X9" s="193"/>
      <c r="Y9" s="193"/>
      <c r="Z9" s="193"/>
    </row>
    <row r="10" spans="1:27">
      <c r="A10" s="194">
        <v>2</v>
      </c>
      <c r="B10" s="195" t="s">
        <v>27</v>
      </c>
      <c r="C10" s="195"/>
      <c r="D10" s="195"/>
      <c r="E10" s="195"/>
      <c r="F10" s="195"/>
      <c r="G10" s="196"/>
      <c r="H10" s="197">
        <f>H11</f>
        <v>2616.2328208333329</v>
      </c>
      <c r="I10" s="197">
        <f t="shared" ref="I10:Z10" si="0">I11</f>
        <v>3557.276816585249</v>
      </c>
      <c r="J10" s="197">
        <f t="shared" si="0"/>
        <v>4179.958360679515</v>
      </c>
      <c r="K10" s="197">
        <f t="shared" si="0"/>
        <v>4420.4731647530152</v>
      </c>
      <c r="L10" s="197">
        <f t="shared" si="0"/>
        <v>4674.8271906529017</v>
      </c>
      <c r="M10" s="197">
        <f t="shared" si="0"/>
        <v>4943.81674720307</v>
      </c>
      <c r="N10" s="197">
        <f t="shared" si="0"/>
        <v>5228.2839628371339</v>
      </c>
      <c r="O10" s="197">
        <f t="shared" si="0"/>
        <v>5529.1194220587822</v>
      </c>
      <c r="P10" s="197">
        <f t="shared" si="0"/>
        <v>5847.2649536040435</v>
      </c>
      <c r="Q10" s="197">
        <f t="shared" si="0"/>
        <v>6183.7165790344188</v>
      </c>
      <c r="R10" s="197">
        <f t="shared" si="0"/>
        <v>6539.5276309920573</v>
      </c>
      <c r="S10" s="197">
        <f t="shared" si="0"/>
        <v>6915.8120508793418</v>
      </c>
      <c r="T10" s="197">
        <f t="shared" si="0"/>
        <v>7313.7478762869378</v>
      </c>
      <c r="U10" s="197">
        <f t="shared" si="0"/>
        <v>7734.5809290884881</v>
      </c>
      <c r="V10" s="197">
        <f t="shared" si="0"/>
        <v>8179.6287157482375</v>
      </c>
      <c r="W10" s="197">
        <f t="shared" si="0"/>
        <v>8650.2845520523933</v>
      </c>
      <c r="X10" s="197">
        <f t="shared" si="0"/>
        <v>9148.0219251774852</v>
      </c>
      <c r="Y10" s="197">
        <f t="shared" si="0"/>
        <v>9674.3991067521965</v>
      </c>
      <c r="Z10" s="197">
        <f t="shared" si="0"/>
        <v>10231.064031354716</v>
      </c>
    </row>
    <row r="11" spans="1:27" s="167" customFormat="1">
      <c r="A11" s="52"/>
      <c r="B11" s="162" t="s">
        <v>87</v>
      </c>
      <c r="C11" s="162"/>
      <c r="D11" s="162"/>
      <c r="E11" s="162"/>
      <c r="F11" s="162"/>
      <c r="G11" s="198">
        <v>1</v>
      </c>
      <c r="H11" s="199">
        <f>IF(H$2&lt;=$C$54,0,Sales!E9*H$3*(1+$C$53)^(H$2-$C$54-1))</f>
        <v>2616.2328208333329</v>
      </c>
      <c r="I11" s="199">
        <f>IF(I$2&lt;=$C$54,0,Sales!F9*I$3*(1+$C$53)^(I$2-$C$54-1))</f>
        <v>3557.276816585249</v>
      </c>
      <c r="J11" s="199">
        <f>IF(J$2&lt;=$C$54,0,Sales!G9*J$3*(1+$C$53)^(J$2-$C$54-1))</f>
        <v>4179.958360679515</v>
      </c>
      <c r="K11" s="199">
        <f>IF(K$2&lt;=$C$54,0,Sales!H9*K$3*(1+$C$53)^(K$2-$C$54-1))</f>
        <v>4420.4731647530152</v>
      </c>
      <c r="L11" s="199">
        <f>IF(L$2&lt;=$C$54,0,Sales!I9*L$3*(1+$C$53)^(L$2-$C$54-1))</f>
        <v>4674.8271906529017</v>
      </c>
      <c r="M11" s="199">
        <f>IF(M$2&lt;=$C$54,0,Sales!J9*M$3*(1+$C$53)^(M$2-$C$54-1))</f>
        <v>4943.81674720307</v>
      </c>
      <c r="N11" s="199">
        <f>IF(N$2&lt;=$C$54,0,Sales!K9*N$3*(1+$C$53)^(N$2-$C$54-1))</f>
        <v>5228.2839628371339</v>
      </c>
      <c r="O11" s="199">
        <f>IF(O$2&lt;=$C$54,0,Sales!L9*O$3*(1+$C$53)^(O$2-$C$54-1))</f>
        <v>5529.1194220587822</v>
      </c>
      <c r="P11" s="199">
        <f>IF(P$2&lt;=$C$54,0,Sales!M9*P$3*(1+$C$53)^(P$2-$C$54-1))</f>
        <v>5847.2649536040435</v>
      </c>
      <c r="Q11" s="199">
        <f>IF(Q$2&lt;=$C$54,0,Sales!N9*Q$3*(1+$C$53)^(Q$2-$C$54-1))</f>
        <v>6183.7165790344188</v>
      </c>
      <c r="R11" s="199">
        <f>IF(R$2&lt;=$C$54,0,Sales!O9*R$3*(1+$C$53)^(R$2-$C$54-1))</f>
        <v>6539.5276309920573</v>
      </c>
      <c r="S11" s="199">
        <f>IF(S$2&lt;=$C$54,0,Sales!P9*S$3*(1+$C$53)^(S$2-$C$54-1))</f>
        <v>6915.8120508793418</v>
      </c>
      <c r="T11" s="199">
        <f>IF(T$2&lt;=$C$54,0,Sales!Q9*T$3*(1+$C$53)^(T$2-$C$54-1))</f>
        <v>7313.7478762869378</v>
      </c>
      <c r="U11" s="199">
        <f>IF(U$2&lt;=$C$54,0,Sales!R9*U$3*(1+$C$53)^(U$2-$C$54-1))</f>
        <v>7734.5809290884881</v>
      </c>
      <c r="V11" s="199">
        <f>IF(V$2&lt;=$C$54,0,Sales!S9*V$3*(1+$C$53)^(V$2-$C$54-1))</f>
        <v>8179.6287157482375</v>
      </c>
      <c r="W11" s="199">
        <f>IF(W$2&lt;=$C$54,0,Sales!T9*W$3*(1+$C$53)^(W$2-$C$54-1))</f>
        <v>8650.2845520523933</v>
      </c>
      <c r="X11" s="199">
        <f>IF(X$2&lt;=$C$54,0,Sales!U9*X$3*(1+$C$53)^(X$2-$C$54-1))</f>
        <v>9148.0219251774852</v>
      </c>
      <c r="Y11" s="199">
        <f>IF(Y$2&lt;=$C$54,0,Sales!V9*Y$3*(1+$C$53)^(Y$2-$C$54-1))</f>
        <v>9674.3991067521965</v>
      </c>
      <c r="Z11" s="199">
        <f>IF(Z$2&lt;=$C$54,0,Sales!W9*Z$3*(1+$C$53)^(Z$2-$C$54-1))</f>
        <v>10231.064031354716</v>
      </c>
    </row>
    <row r="12" spans="1:27">
      <c r="A12" s="52"/>
      <c r="B12" s="17"/>
      <c r="C12" s="17"/>
      <c r="D12" s="17"/>
      <c r="E12" s="17"/>
      <c r="F12" s="17"/>
      <c r="G12" s="201"/>
      <c r="H12" s="199"/>
      <c r="I12" s="199"/>
      <c r="J12" s="199"/>
      <c r="K12" s="199"/>
      <c r="L12" s="199"/>
      <c r="M12" s="199"/>
      <c r="N12" s="199"/>
      <c r="O12" s="199"/>
      <c r="P12" s="199"/>
      <c r="Q12" s="199"/>
    </row>
    <row r="13" spans="1:27">
      <c r="A13" s="194">
        <v>3</v>
      </c>
      <c r="B13" s="195" t="s">
        <v>107</v>
      </c>
      <c r="C13" s="195"/>
      <c r="D13" s="195"/>
      <c r="E13" s="195"/>
      <c r="F13" s="195"/>
      <c r="G13" s="207"/>
      <c r="H13" s="183"/>
      <c r="I13" s="183"/>
      <c r="J13" s="183"/>
      <c r="K13" s="183"/>
      <c r="L13" s="183"/>
      <c r="M13" s="183"/>
      <c r="N13" s="183"/>
      <c r="O13" s="183"/>
      <c r="P13" s="183"/>
      <c r="Q13" s="183"/>
      <c r="R13" s="186"/>
      <c r="S13" s="186"/>
      <c r="T13" s="186"/>
      <c r="U13" s="186"/>
      <c r="V13" s="186"/>
      <c r="W13" s="186"/>
      <c r="X13" s="186"/>
      <c r="Y13" s="186"/>
      <c r="Z13" s="186"/>
    </row>
    <row r="14" spans="1:27">
      <c r="A14" s="52"/>
      <c r="B14" s="17" t="s">
        <v>489</v>
      </c>
      <c r="C14" s="17"/>
      <c r="D14" s="17"/>
      <c r="E14" s="17"/>
      <c r="F14" s="17"/>
      <c r="G14" s="208">
        <f>J14/$J$19</f>
        <v>0.88155392243603548</v>
      </c>
      <c r="H14" s="199">
        <f>IF(H$2&lt;=$C$54,0,'Opex PVC'!E45*H$3*(1+$C$53)^(H$2-$C$54-1))</f>
        <v>1770.1775069999999</v>
      </c>
      <c r="I14" s="199">
        <f>IF(I$2&lt;=$C$54,0,'Opex PVC'!F45*I$3*(1+$C$53)^(I$2-$C$54-1))</f>
        <v>2409.2686974210033</v>
      </c>
      <c r="J14" s="199">
        <f>IF(J$2&lt;=$C$54,0,'Opex PVC'!G45*J$3*(1+$C$53)^(J$2-$C$54-1))</f>
        <v>2831.5693649714735</v>
      </c>
      <c r="K14" s="199">
        <f>IF(K$2&lt;=$C$54,0,'Opex PVC'!H45*K$3*(1+$C$53)^(K$2-$C$54-1))</f>
        <v>2996.2732602237697</v>
      </c>
      <c r="L14" s="199">
        <f>IF(L$2&lt;=$C$54,0,'Opex PVC'!I45*L$3*(1+$C$53)^(L$2-$C$54-1))</f>
        <v>3170.5574869512047</v>
      </c>
      <c r="M14" s="199">
        <f>IF(M$2&lt;=$C$54,0,'Opex PVC'!J45*M$3*(1+$C$53)^(M$2-$C$54-1))</f>
        <v>3354.9793042946953</v>
      </c>
      <c r="N14" s="199">
        <f>IF(N$2&lt;=$C$54,0,'Opex PVC'!K45*N$3*(1+$C$53)^(N$2-$C$54-1))</f>
        <v>3550.1283854876037</v>
      </c>
      <c r="O14" s="199">
        <f>IF(O$2&lt;=$C$54,0,'Opex PVC'!L45*O$3*(1+$C$53)^(O$2-$C$54-1))</f>
        <v>3756.6287032862615</v>
      </c>
      <c r="P14" s="199">
        <f>IF(P$2&lt;=$C$54,0,'Opex PVC'!M45*P$3*(1+$C$53)^(P$2-$C$54-1))</f>
        <v>3975.1405250703124</v>
      </c>
      <c r="Q14" s="199">
        <f>IF(Q$2&lt;=$C$54,0,'Opex PVC'!N45*Q$3*(1+$C$53)^(Q$2-$C$54-1))</f>
        <v>4206.3625239920766</v>
      </c>
      <c r="R14" s="199">
        <f>IF(R$2&lt;=$C$54,0,'Opex PVC'!O45*R$3*(1+$C$53)^(R$2-$C$54-1))</f>
        <v>4451.0340129251226</v>
      </c>
      <c r="S14" s="199">
        <f>IF(S$2&lt;=$C$54,0,'Opex PVC'!P45*S$3*(1+$C$53)^(S$2-$C$54-1))</f>
        <v>4709.937308354939</v>
      </c>
      <c r="T14" s="199">
        <f>IF(T$2&lt;=$C$54,0,'Opex PVC'!Q45*T$3*(1+$C$53)^(T$2-$C$54-1))</f>
        <v>4983.9002317700197</v>
      </c>
      <c r="U14" s="199">
        <f>IF(U$2&lt;=$C$54,0,'Opex PVC'!R45*U$3*(1+$C$53)^(U$2-$C$54-1))</f>
        <v>5273.7987565513868</v>
      </c>
      <c r="V14" s="199">
        <f>IF(V$2&lt;=$C$54,0,'Opex PVC'!S45*V$3*(1+$C$53)^(V$2-$C$54-1))</f>
        <v>5580.5598088237093</v>
      </c>
      <c r="W14" s="199">
        <f>IF(W$2&lt;=$C$54,0,'Opex PVC'!T45*W$3*(1+$C$53)^(W$2-$C$54-1))</f>
        <v>5905.164231223559</v>
      </c>
      <c r="X14" s="199">
        <f>IF(X$2&lt;=$C$54,0,'Opex PVC'!U45*X$3*(1+$C$53)^(X$2-$C$54-1))</f>
        <v>6248.6499190611366</v>
      </c>
      <c r="Y14" s="199">
        <f>IF(Y$2&lt;=$C$54,0,'Opex PVC'!V45*Y$3*(1+$C$53)^(Y$2-$C$54-1))</f>
        <v>6612.1151389031656</v>
      </c>
      <c r="Z14" s="199">
        <f>IF(Z$2&lt;=$C$54,0,'Opex PVC'!W45*Z$3*(1+$C$53)^(Z$2-$C$54-1))</f>
        <v>6996.7220401877457</v>
      </c>
      <c r="AA14" s="199"/>
    </row>
    <row r="15" spans="1:27">
      <c r="A15" s="52"/>
      <c r="B15" s="17" t="s">
        <v>29</v>
      </c>
      <c r="C15" s="17"/>
      <c r="D15" s="17"/>
      <c r="E15" s="17"/>
      <c r="F15" s="17"/>
      <c r="G15" s="208">
        <f>J15/$J$19</f>
        <v>8.3295270405176168E-3</v>
      </c>
      <c r="H15" s="199">
        <f>IF(H$2&lt;=$C$54,0,'Opex PVC'!$E$49*(1+$C$53)^(H$2-$C$54-1))</f>
        <v>24.5</v>
      </c>
      <c r="I15" s="199">
        <f>IF(I$2&lt;=$C$54,0,'Opex PVC'!$E$49*(1+$C$53)^(I$2-$C$54-1))</f>
        <v>25.602499999999999</v>
      </c>
      <c r="J15" s="199">
        <f>IF(J$2&lt;=$C$54,0,'Opex PVC'!$E$49*(1+$C$53)^(J$2-$C$54-1))</f>
        <v>26.754612499999997</v>
      </c>
      <c r="K15" s="199">
        <f>IF(K$2&lt;=$C$54,0,'Opex PVC'!$E$49*(1+$C$53)^(K$2-$C$54-1))</f>
        <v>27.958570062499994</v>
      </c>
      <c r="L15" s="199">
        <f>IF(L$2&lt;=$C$54,0,'Opex PVC'!$E$49*(1+$C$53)^(L$2-$C$54-1))</f>
        <v>29.216705715312486</v>
      </c>
      <c r="M15" s="199">
        <f>IF(M$2&lt;=$C$54,0,'Opex PVC'!$E$49*(1+$C$53)^(M$2-$C$54-1))</f>
        <v>30.53145747250155</v>
      </c>
      <c r="N15" s="199">
        <f>IF(N$2&lt;=$C$54,0,'Opex PVC'!$E$49*(1+$C$53)^(N$2-$C$54-1))</f>
        <v>31.905373058764113</v>
      </c>
      <c r="O15" s="199">
        <f>IF(O$2&lt;=$C$54,0,'Opex PVC'!$E$49*(1+$C$53)^(O$2-$C$54-1))</f>
        <v>33.341114846408502</v>
      </c>
      <c r="P15" s="199">
        <f>IF(P$2&lt;=$C$54,0,'Opex PVC'!$E$49*(1+$C$53)^(P$2-$C$54-1))</f>
        <v>34.841465014496869</v>
      </c>
      <c r="Q15" s="199">
        <f>IF(Q$2&lt;=$C$54,0,'Opex PVC'!$E$49*(1+$C$53)^(Q$2-$C$54-1))</f>
        <v>36.409330940149225</v>
      </c>
      <c r="R15" s="199">
        <f>IF(R$2&lt;=$C$54,0,'Opex PVC'!$E$49*(1+$C$53)^(R$2-$C$54-1))</f>
        <v>38.047750832455932</v>
      </c>
      <c r="S15" s="199">
        <f>IF(S$2&lt;=$C$54,0,'Opex PVC'!$E$49*(1+$C$53)^(S$2-$C$54-1))</f>
        <v>39.759899619916453</v>
      </c>
      <c r="T15" s="199">
        <f>IF(T$2&lt;=$C$54,0,'Opex PVC'!$E$49*(1+$C$53)^(T$2-$C$54-1))</f>
        <v>41.549095102812686</v>
      </c>
      <c r="U15" s="199">
        <f>IF(U$2&lt;=$C$54,0,'Opex PVC'!$E$49*(1+$C$53)^(U$2-$C$54-1))</f>
        <v>43.418804382439255</v>
      </c>
      <c r="V15" s="199">
        <f>IF(V$2&lt;=$C$54,0,'Opex PVC'!$E$49*(1+$C$53)^(V$2-$C$54-1))</f>
        <v>45.372650579649012</v>
      </c>
      <c r="W15" s="199">
        <f>IF(W$2&lt;=$C$54,0,'Opex PVC'!$E$49*(1+$C$53)^(W$2-$C$54-1))</f>
        <v>47.414419855733222</v>
      </c>
      <c r="X15" s="199">
        <f>IF(X$2&lt;=$C$54,0,'Opex PVC'!$E$49*(1+$C$53)^(X$2-$C$54-1))</f>
        <v>49.548068749241196</v>
      </c>
      <c r="Y15" s="199">
        <f>IF(Y$2&lt;=$C$54,0,'Opex PVC'!$E$49*(1+$C$53)^(Y$2-$C$54-1))</f>
        <v>51.777731842957053</v>
      </c>
      <c r="Z15" s="199">
        <f>IF(Z$2&lt;=$C$54,0,'Opex PVC'!$E$49*(1+$C$53)^(Z$2-$C$54-1))</f>
        <v>54.107729775890107</v>
      </c>
      <c r="AA15" s="199"/>
    </row>
    <row r="16" spans="1:27">
      <c r="A16" s="52"/>
      <c r="B16" s="17" t="s">
        <v>17</v>
      </c>
      <c r="C16" s="17"/>
      <c r="D16" s="17"/>
      <c r="E16" s="17"/>
      <c r="F16" s="17"/>
      <c r="G16" s="208">
        <f>J16/$J$19</f>
        <v>4.8855225947852299E-2</v>
      </c>
      <c r="H16" s="199">
        <f>IF(H$2&lt;=$C$54,0,'Opex PVC'!$E$51*(1+$C$53)^(H$2-$C$54-1))</f>
        <v>143.69999999999999</v>
      </c>
      <c r="I16" s="199">
        <f>IF(I$2&lt;=$C$54,0,'Opex PVC'!$E$51*(1+$C$53)^(I$2-$C$54-1))</f>
        <v>150.16649999999998</v>
      </c>
      <c r="J16" s="199">
        <f>IF(J$2&lt;=$C$54,0,'Opex PVC'!$E$51*(1+$C$53)^(J$2-$C$54-1))</f>
        <v>156.92399249999997</v>
      </c>
      <c r="K16" s="199">
        <f>IF(K$2&lt;=$C$54,0,'Opex PVC'!$E$51*(1+$C$53)^(K$2-$C$54-1))</f>
        <v>163.98557216249995</v>
      </c>
      <c r="L16" s="199">
        <f>IF(L$2&lt;=$C$54,0,'Opex PVC'!$E$51*(1+$C$53)^(L$2-$C$54-1))</f>
        <v>171.36492290981241</v>
      </c>
      <c r="M16" s="199">
        <f>IF(M$2&lt;=$C$54,0,'Opex PVC'!$E$51*(1+$C$53)^(M$2-$C$54-1))</f>
        <v>179.07634444075399</v>
      </c>
      <c r="N16" s="199">
        <f>IF(N$2&lt;=$C$54,0,'Opex PVC'!$E$51*(1+$C$53)^(N$2-$C$54-1))</f>
        <v>187.13477994058786</v>
      </c>
      <c r="O16" s="199">
        <f>IF(O$2&lt;=$C$54,0,'Opex PVC'!$E$51*(1+$C$53)^(O$2-$C$54-1))</f>
        <v>195.55584503791431</v>
      </c>
      <c r="P16" s="199">
        <f>IF(P$2&lt;=$C$54,0,'Opex PVC'!$E$51*(1+$C$53)^(P$2-$C$54-1))</f>
        <v>204.35585806462041</v>
      </c>
      <c r="Q16" s="199">
        <f>IF(Q$2&lt;=$C$54,0,'Opex PVC'!$E$51*(1+$C$53)^(Q$2-$C$54-1))</f>
        <v>213.55187167752831</v>
      </c>
      <c r="R16" s="199">
        <f>IF(R$2&lt;=$C$54,0,'Opex PVC'!$E$51*(1+$C$53)^(R$2-$C$54-1))</f>
        <v>223.16170590301704</v>
      </c>
      <c r="S16" s="199">
        <f>IF(S$2&lt;=$C$54,0,'Opex PVC'!$E$51*(1+$C$53)^(S$2-$C$54-1))</f>
        <v>233.2039826686528</v>
      </c>
      <c r="T16" s="199">
        <f>IF(T$2&lt;=$C$54,0,'Opex PVC'!$E$51*(1+$C$53)^(T$2-$C$54-1))</f>
        <v>243.69816188874213</v>
      </c>
      <c r="U16" s="199">
        <f>IF(U$2&lt;=$C$54,0,'Opex PVC'!$E$51*(1+$C$53)^(U$2-$C$54-1))</f>
        <v>254.66457917373555</v>
      </c>
      <c r="V16" s="199">
        <f>IF(V$2&lt;=$C$54,0,'Opex PVC'!$E$51*(1+$C$53)^(V$2-$C$54-1))</f>
        <v>266.1244852365536</v>
      </c>
      <c r="W16" s="199">
        <f>IF(W$2&lt;=$C$54,0,'Opex PVC'!$E$51*(1+$C$53)^(W$2-$C$54-1))</f>
        <v>278.10008707219851</v>
      </c>
      <c r="X16" s="199">
        <f>IF(X$2&lt;=$C$54,0,'Opex PVC'!$E$51*(1+$C$53)^(X$2-$C$54-1))</f>
        <v>290.61459099044731</v>
      </c>
      <c r="Y16" s="199">
        <f>IF(Y$2&lt;=$C$54,0,'Opex PVC'!$E$51*(1+$C$53)^(Y$2-$C$54-1))</f>
        <v>303.69224758501747</v>
      </c>
      <c r="Z16" s="199">
        <f>IF(Z$2&lt;=$C$54,0,'Opex PVC'!$E$51*(1+$C$53)^(Z$2-$C$54-1))</f>
        <v>317.35839872634318</v>
      </c>
    </row>
    <row r="17" spans="1:26" s="167" customFormat="1">
      <c r="A17" s="52"/>
      <c r="B17" s="17" t="s">
        <v>20</v>
      </c>
      <c r="C17" s="17"/>
      <c r="D17" s="17"/>
      <c r="E17" s="17"/>
      <c r="F17" s="17"/>
      <c r="G17" s="208">
        <f>J17/$J$19</f>
        <v>2.4897105065661448E-2</v>
      </c>
      <c r="H17" s="199">
        <f>IF(H$2&lt;=$C$54,0,'Opex PVC'!$E$54*(1+$C$53)^(H$2-$C$54-1))</f>
        <v>73.230937499999996</v>
      </c>
      <c r="I17" s="199">
        <f>IF(I$2&lt;=$C$54,0,'Opex PVC'!$E$54*(1+$C$53)^(I$2-$C$54-1))</f>
        <v>76.526329687499995</v>
      </c>
      <c r="J17" s="199">
        <f>IF(J$2&lt;=$C$54,0,'Opex PVC'!$E$54*(1+$C$53)^(J$2-$C$54-1))</f>
        <v>79.970014523437484</v>
      </c>
      <c r="K17" s="199">
        <f>IF(K$2&lt;=$C$54,0,'Opex PVC'!$E$54*(1+$C$53)^(K$2-$C$54-1))</f>
        <v>83.56866517699217</v>
      </c>
      <c r="L17" s="199">
        <f>IF(L$2&lt;=$C$54,0,'Opex PVC'!$E$54*(1+$C$53)^(L$2-$C$54-1))</f>
        <v>87.32925510995679</v>
      </c>
      <c r="M17" s="199">
        <f>IF(M$2&lt;=$C$54,0,'Opex PVC'!$E$54*(1+$C$53)^(M$2-$C$54-1))</f>
        <v>91.259071589904849</v>
      </c>
      <c r="N17" s="199">
        <f>IF(N$2&lt;=$C$54,0,'Opex PVC'!$E$54*(1+$C$53)^(N$2-$C$54-1))</f>
        <v>95.365729811450549</v>
      </c>
      <c r="O17" s="199">
        <f>IF(O$2&lt;=$C$54,0,'Opex PVC'!$E$54*(1+$C$53)^(O$2-$C$54-1))</f>
        <v>99.657187652965831</v>
      </c>
      <c r="P17" s="199">
        <f>IF(P$2&lt;=$C$54,0,'Opex PVC'!$E$54*(1+$C$53)^(P$2-$C$54-1))</f>
        <v>104.14176109734926</v>
      </c>
      <c r="Q17" s="199">
        <f>IF(Q$2&lt;=$C$54,0,'Opex PVC'!$E$54*(1+$C$53)^(Q$2-$C$54-1))</f>
        <v>108.82814034672997</v>
      </c>
      <c r="R17" s="199">
        <f>IF(R$2&lt;=$C$54,0,'Opex PVC'!$E$54*(1+$C$53)^(R$2-$C$54-1))</f>
        <v>113.72540666233279</v>
      </c>
      <c r="S17" s="199">
        <f>IF(S$2&lt;=$C$54,0,'Opex PVC'!$E$54*(1+$C$53)^(S$2-$C$54-1))</f>
        <v>118.84304996213777</v>
      </c>
      <c r="T17" s="199">
        <f>IF(T$2&lt;=$C$54,0,'Opex PVC'!$E$54*(1+$C$53)^(T$2-$C$54-1))</f>
        <v>124.19098721043395</v>
      </c>
      <c r="U17" s="199">
        <f>IF(U$2&lt;=$C$54,0,'Opex PVC'!$E$54*(1+$C$53)^(U$2-$C$54-1))</f>
        <v>129.77958163490348</v>
      </c>
      <c r="V17" s="199">
        <f>IF(V$2&lt;=$C$54,0,'Opex PVC'!$E$54*(1+$C$53)^(V$2-$C$54-1))</f>
        <v>135.61966280847409</v>
      </c>
      <c r="W17" s="199">
        <f>IF(W$2&lt;=$C$54,0,'Opex PVC'!$E$54*(1+$C$53)^(W$2-$C$54-1))</f>
        <v>141.72254763485546</v>
      </c>
      <c r="X17" s="199">
        <f>IF(X$2&lt;=$C$54,0,'Opex PVC'!$E$54*(1+$C$53)^(X$2-$C$54-1))</f>
        <v>148.10006227842388</v>
      </c>
      <c r="Y17" s="199">
        <f>IF(Y$2&lt;=$C$54,0,'Opex PVC'!$E$54*(1+$C$53)^(Y$2-$C$54-1))</f>
        <v>154.76456508095296</v>
      </c>
      <c r="Z17" s="199">
        <f>IF(Z$2&lt;=$C$54,0,'Opex PVC'!$E$54*(1+$C$53)^(Z$2-$C$54-1))</f>
        <v>161.7289705095958</v>
      </c>
    </row>
    <row r="18" spans="1:26">
      <c r="A18" s="52"/>
      <c r="B18" s="17" t="s">
        <v>21</v>
      </c>
      <c r="C18" s="17"/>
      <c r="D18" s="17"/>
      <c r="E18" s="17"/>
      <c r="F18" s="17"/>
      <c r="G18" s="208">
        <f>J18/$J$19</f>
        <v>3.6364219509933189E-2</v>
      </c>
      <c r="H18" s="199">
        <f>IF(H$2&lt;=$C$54,0,'Opex PVC'!$E$57*(1+$C$53)^(H$2-$C$54-1))</f>
        <v>106.95965973333332</v>
      </c>
      <c r="I18" s="199">
        <f>IF(I$2&lt;=$C$54,0,'Opex PVC'!$E$57*(1+$C$53)^(I$2-$C$54-1))</f>
        <v>111.77284442133332</v>
      </c>
      <c r="J18" s="199">
        <f>IF(J$2&lt;=$C$54,0,'Opex PVC'!$E$57*(1+$C$53)^(J$2-$C$54-1))</f>
        <v>116.8026224202933</v>
      </c>
      <c r="K18" s="199">
        <f>IF(K$2&lt;=$C$54,0,'Opex PVC'!$E$57*(1+$C$53)^(K$2-$C$54-1))</f>
        <v>122.05874042920651</v>
      </c>
      <c r="L18" s="199">
        <f>IF(L$2&lt;=$C$54,0,'Opex PVC'!$E$57*(1+$C$53)^(L$2-$C$54-1))</f>
        <v>127.55138374852076</v>
      </c>
      <c r="M18" s="199">
        <f>IF(M$2&lt;=$C$54,0,'Opex PVC'!$E$57*(1+$C$53)^(M$2-$C$54-1))</f>
        <v>133.29119601720419</v>
      </c>
      <c r="N18" s="199">
        <f>IF(N$2&lt;=$C$54,0,'Opex PVC'!$E$57*(1+$C$53)^(N$2-$C$54-1))</f>
        <v>139.28929983797835</v>
      </c>
      <c r="O18" s="199">
        <f>IF(O$2&lt;=$C$54,0,'Opex PVC'!$E$57*(1+$C$53)^(O$2-$C$54-1))</f>
        <v>145.55731833068739</v>
      </c>
      <c r="P18" s="199">
        <f>IF(P$2&lt;=$C$54,0,'Opex PVC'!$E$57*(1+$C$53)^(P$2-$C$54-1))</f>
        <v>152.10739765556826</v>
      </c>
      <c r="Q18" s="199">
        <f>IF(Q$2&lt;=$C$54,0,'Opex PVC'!$E$57*(1+$C$53)^(Q$2-$C$54-1))</f>
        <v>158.95223055006883</v>
      </c>
      <c r="R18" s="199">
        <f>IF(R$2&lt;=$C$54,0,'Opex PVC'!$E$57*(1+$C$53)^(R$2-$C$54-1))</f>
        <v>166.10508092482189</v>
      </c>
      <c r="S18" s="199">
        <f>IF(S$2&lt;=$C$54,0,'Opex PVC'!$E$57*(1+$C$53)^(S$2-$C$54-1))</f>
        <v>173.57980956643888</v>
      </c>
      <c r="T18" s="199">
        <f>IF(T$2&lt;=$C$54,0,'Opex PVC'!$E$57*(1+$C$53)^(T$2-$C$54-1))</f>
        <v>181.39090099692859</v>
      </c>
      <c r="U18" s="199">
        <f>IF(U$2&lt;=$C$54,0,'Opex PVC'!$E$57*(1+$C$53)^(U$2-$C$54-1))</f>
        <v>189.55349154179041</v>
      </c>
      <c r="V18" s="199">
        <f>IF(V$2&lt;=$C$54,0,'Opex PVC'!$E$57*(1+$C$53)^(V$2-$C$54-1))</f>
        <v>198.08339866117092</v>
      </c>
      <c r="W18" s="199">
        <f>IF(W$2&lt;=$C$54,0,'Opex PVC'!$E$57*(1+$C$53)^(W$2-$C$54-1))</f>
        <v>206.99715160092362</v>
      </c>
      <c r="X18" s="199">
        <f>IF(X$2&lt;=$C$54,0,'Opex PVC'!$E$57*(1+$C$53)^(X$2-$C$54-1))</f>
        <v>216.3120234229651</v>
      </c>
      <c r="Y18" s="199">
        <f>IF(Y$2&lt;=$C$54,0,'Opex PVC'!$E$57*(1+$C$53)^(Y$2-$C$54-1))</f>
        <v>226.04606447699854</v>
      </c>
      <c r="Z18" s="199">
        <f>IF(Z$2&lt;=$C$54,0,'Opex PVC'!$E$57*(1+$C$53)^(Z$2-$C$54-1))</f>
        <v>236.21813737846341</v>
      </c>
    </row>
    <row r="19" spans="1:26" s="167" customFormat="1">
      <c r="A19" s="187"/>
      <c r="B19" s="209" t="s">
        <v>30</v>
      </c>
      <c r="C19" s="209"/>
      <c r="D19" s="209"/>
      <c r="E19" s="209"/>
      <c r="F19" s="209"/>
      <c r="G19" s="210"/>
      <c r="H19" s="192">
        <f t="shared" ref="H19:Z19" si="1">SUM(H14:H18)</f>
        <v>2118.5681042333331</v>
      </c>
      <c r="I19" s="192">
        <f t="shared" si="1"/>
        <v>2773.3368715298366</v>
      </c>
      <c r="J19" s="192">
        <f t="shared" si="1"/>
        <v>3212.0206069152041</v>
      </c>
      <c r="K19" s="192">
        <f t="shared" si="1"/>
        <v>3393.8448080549679</v>
      </c>
      <c r="L19" s="192">
        <f t="shared" si="1"/>
        <v>3586.0197544348071</v>
      </c>
      <c r="M19" s="192">
        <f t="shared" si="1"/>
        <v>3789.1373738150601</v>
      </c>
      <c r="N19" s="192">
        <f t="shared" si="1"/>
        <v>4003.8235681363849</v>
      </c>
      <c r="O19" s="192">
        <f t="shared" si="1"/>
        <v>4230.7401691542382</v>
      </c>
      <c r="P19" s="192">
        <f t="shared" si="1"/>
        <v>4470.5870069023467</v>
      </c>
      <c r="Q19" s="192">
        <f t="shared" si="1"/>
        <v>4724.1040975065534</v>
      </c>
      <c r="R19" s="192">
        <f t="shared" si="1"/>
        <v>4992.0739572477496</v>
      </c>
      <c r="S19" s="192">
        <f t="shared" si="1"/>
        <v>5275.3240501720857</v>
      </c>
      <c r="T19" s="192">
        <f t="shared" si="1"/>
        <v>5574.7293769689368</v>
      </c>
      <c r="U19" s="192">
        <f t="shared" si="1"/>
        <v>5891.2152132842557</v>
      </c>
      <c r="V19" s="192">
        <f t="shared" si="1"/>
        <v>6225.7600061095573</v>
      </c>
      <c r="W19" s="192">
        <f t="shared" si="1"/>
        <v>6579.39843738727</v>
      </c>
      <c r="X19" s="192">
        <f t="shared" si="1"/>
        <v>6953.2246645022142</v>
      </c>
      <c r="Y19" s="192">
        <f t="shared" si="1"/>
        <v>7348.3957478890916</v>
      </c>
      <c r="Z19" s="192">
        <f t="shared" si="1"/>
        <v>7766.1352765780375</v>
      </c>
    </row>
    <row r="20" spans="1:26">
      <c r="A20" s="52"/>
      <c r="B20" s="17"/>
      <c r="C20" s="17"/>
      <c r="D20" s="17"/>
      <c r="E20" s="17"/>
      <c r="F20" s="17"/>
      <c r="G20" s="201"/>
      <c r="H20" s="199"/>
      <c r="I20" s="199"/>
      <c r="J20" s="199"/>
      <c r="K20" s="199"/>
      <c r="L20" s="199"/>
      <c r="M20" s="199"/>
      <c r="N20" s="199"/>
      <c r="O20" s="199"/>
      <c r="P20" s="199"/>
      <c r="Q20" s="199"/>
    </row>
    <row r="21" spans="1:26">
      <c r="A21" s="203">
        <v>4</v>
      </c>
      <c r="B21" s="204" t="s">
        <v>392</v>
      </c>
      <c r="C21" s="204"/>
      <c r="D21" s="204"/>
      <c r="E21" s="204"/>
      <c r="F21" s="204"/>
      <c r="G21" s="205"/>
      <c r="H21" s="206">
        <f t="shared" ref="H21:Z21" si="2">H10-H19</f>
        <v>497.66471659999979</v>
      </c>
      <c r="I21" s="206">
        <f t="shared" si="2"/>
        <v>783.93994505541241</v>
      </c>
      <c r="J21" s="206">
        <f t="shared" si="2"/>
        <v>967.93775376431086</v>
      </c>
      <c r="K21" s="206">
        <f t="shared" si="2"/>
        <v>1026.6283566980474</v>
      </c>
      <c r="L21" s="206">
        <f t="shared" si="2"/>
        <v>1088.8074362180946</v>
      </c>
      <c r="M21" s="206">
        <f t="shared" si="2"/>
        <v>1154.6793733880099</v>
      </c>
      <c r="N21" s="206">
        <f t="shared" si="2"/>
        <v>1224.460394700749</v>
      </c>
      <c r="O21" s="206">
        <f t="shared" si="2"/>
        <v>1298.379252904544</v>
      </c>
      <c r="P21" s="206">
        <f t="shared" si="2"/>
        <v>1376.6779467016968</v>
      </c>
      <c r="Q21" s="206">
        <f t="shared" si="2"/>
        <v>1459.6124815278654</v>
      </c>
      <c r="R21" s="206">
        <f t="shared" si="2"/>
        <v>1547.4536737443077</v>
      </c>
      <c r="S21" s="206">
        <f t="shared" si="2"/>
        <v>1640.4880007072561</v>
      </c>
      <c r="T21" s="206">
        <f t="shared" si="2"/>
        <v>1739.018499318001</v>
      </c>
      <c r="U21" s="206">
        <f t="shared" si="2"/>
        <v>1843.3657158042324</v>
      </c>
      <c r="V21" s="206">
        <f t="shared" si="2"/>
        <v>1953.8687096386802</v>
      </c>
      <c r="W21" s="206">
        <f t="shared" si="2"/>
        <v>2070.8861146651234</v>
      </c>
      <c r="X21" s="206">
        <f t="shared" si="2"/>
        <v>2194.797260675271</v>
      </c>
      <c r="Y21" s="206">
        <f t="shared" si="2"/>
        <v>2326.0033588631049</v>
      </c>
      <c r="Z21" s="206">
        <f t="shared" si="2"/>
        <v>2464.928754776678</v>
      </c>
    </row>
    <row r="22" spans="1:26">
      <c r="A22" s="52"/>
      <c r="B22" s="17" t="s">
        <v>388</v>
      </c>
      <c r="C22" s="17"/>
      <c r="D22" s="17"/>
      <c r="E22" s="17"/>
      <c r="F22" s="17"/>
      <c r="G22" s="201"/>
      <c r="H22" s="262">
        <f t="shared" ref="H22:Z22" si="3">H21/H11</f>
        <v>0.19022187652300823</v>
      </c>
      <c r="I22" s="262">
        <f t="shared" si="3"/>
        <v>0.22037642429186691</v>
      </c>
      <c r="J22" s="262">
        <f t="shared" si="3"/>
        <v>0.23156636268667471</v>
      </c>
      <c r="K22" s="262">
        <f t="shared" si="3"/>
        <v>0.2322439970643749</v>
      </c>
      <c r="L22" s="262">
        <f t="shared" si="3"/>
        <v>0.23290859572202244</v>
      </c>
      <c r="M22" s="262">
        <f t="shared" si="3"/>
        <v>0.23356031026863239</v>
      </c>
      <c r="N22" s="262">
        <f t="shared" si="3"/>
        <v>0.23419929051372609</v>
      </c>
      <c r="O22" s="262">
        <f t="shared" si="3"/>
        <v>0.23482568448866839</v>
      </c>
      <c r="P22" s="262">
        <f t="shared" si="3"/>
        <v>0.2354396384677527</v>
      </c>
      <c r="Q22" s="262">
        <f t="shared" si="3"/>
        <v>0.2360412969890322</v>
      </c>
      <c r="R22" s="262">
        <f t="shared" si="3"/>
        <v>0.23663080287490984</v>
      </c>
      <c r="S22" s="262">
        <f t="shared" si="3"/>
        <v>0.23720829725247797</v>
      </c>
      <c r="T22" s="262">
        <f t="shared" si="3"/>
        <v>0.23777391957362226</v>
      </c>
      <c r="U22" s="262">
        <f t="shared" si="3"/>
        <v>0.23832780763488257</v>
      </c>
      <c r="V22" s="262">
        <f t="shared" si="3"/>
        <v>0.23887009759708253</v>
      </c>
      <c r="W22" s="262">
        <f t="shared" si="3"/>
        <v>0.23940092400472288</v>
      </c>
      <c r="X22" s="262">
        <f t="shared" si="3"/>
        <v>0.23992041980514697</v>
      </c>
      <c r="Y22" s="262">
        <f t="shared" si="3"/>
        <v>0.24042871636747784</v>
      </c>
      <c r="Z22" s="262">
        <f t="shared" si="3"/>
        <v>0.24092594350133217</v>
      </c>
    </row>
    <row r="23" spans="1:26">
      <c r="A23" s="52"/>
      <c r="B23" s="17" t="s">
        <v>387</v>
      </c>
      <c r="C23" s="17"/>
      <c r="D23" s="17"/>
      <c r="E23" s="17"/>
      <c r="F23" s="17"/>
      <c r="G23" s="201"/>
      <c r="H23" s="264">
        <f t="shared" ref="H23:Z23" si="4">H21/(H3*500000)*10^7</f>
        <v>14218.991902857137</v>
      </c>
      <c r="I23" s="264">
        <f t="shared" si="4"/>
        <v>17420.887667898052</v>
      </c>
      <c r="J23" s="264">
        <f t="shared" si="4"/>
        <v>19358.755075286215</v>
      </c>
      <c r="K23" s="264">
        <f t="shared" si="4"/>
        <v>20532.567133960947</v>
      </c>
      <c r="L23" s="264">
        <f t="shared" si="4"/>
        <v>21776.148724361894</v>
      </c>
      <c r="M23" s="264">
        <f t="shared" si="4"/>
        <v>23093.587467760201</v>
      </c>
      <c r="N23" s="264">
        <f t="shared" si="4"/>
        <v>24489.20789401498</v>
      </c>
      <c r="O23" s="264">
        <f t="shared" si="4"/>
        <v>25967.585058090881</v>
      </c>
      <c r="P23" s="264">
        <f t="shared" si="4"/>
        <v>27533.558934033936</v>
      </c>
      <c r="Q23" s="264">
        <f t="shared" si="4"/>
        <v>29192.249630557308</v>
      </c>
      <c r="R23" s="264">
        <f t="shared" si="4"/>
        <v>30949.073474886158</v>
      </c>
      <c r="S23" s="264">
        <f t="shared" si="4"/>
        <v>32809.760014145126</v>
      </c>
      <c r="T23" s="264">
        <f t="shared" si="4"/>
        <v>34780.36998636002</v>
      </c>
      <c r="U23" s="264">
        <f t="shared" si="4"/>
        <v>36867.314316084645</v>
      </c>
      <c r="V23" s="264">
        <f t="shared" si="4"/>
        <v>39077.374192773605</v>
      </c>
      <c r="W23" s="264">
        <f t="shared" si="4"/>
        <v>41417.722293302468</v>
      </c>
      <c r="X23" s="264">
        <f t="shared" si="4"/>
        <v>43895.945213505416</v>
      </c>
      <c r="Y23" s="264">
        <f t="shared" si="4"/>
        <v>46520.067177262099</v>
      </c>
      <c r="Z23" s="264">
        <f t="shared" si="4"/>
        <v>49298.575095533561</v>
      </c>
    </row>
    <row r="24" spans="1:26">
      <c r="A24" s="194"/>
      <c r="B24" s="195" t="s">
        <v>32</v>
      </c>
      <c r="C24" s="182">
        <f>-C8</f>
        <v>-221.38</v>
      </c>
      <c r="D24" s="182">
        <f>-D8</f>
        <v>-1106.8800000000001</v>
      </c>
      <c r="E24" s="182">
        <f>-E8</f>
        <v>-1549.63</v>
      </c>
      <c r="F24" s="182">
        <f>-F8</f>
        <v>-1549.63</v>
      </c>
      <c r="G24" s="196"/>
      <c r="H24" s="197">
        <f>H21+SUM(C24:F24)</f>
        <v>-3929.8552834000006</v>
      </c>
      <c r="I24" s="197">
        <f t="shared" ref="I24:Z24" si="5">I21</f>
        <v>783.93994505541241</v>
      </c>
      <c r="J24" s="197">
        <f t="shared" si="5"/>
        <v>967.93775376431086</v>
      </c>
      <c r="K24" s="197">
        <f t="shared" si="5"/>
        <v>1026.6283566980474</v>
      </c>
      <c r="L24" s="197">
        <f t="shared" si="5"/>
        <v>1088.8074362180946</v>
      </c>
      <c r="M24" s="197">
        <f t="shared" si="5"/>
        <v>1154.6793733880099</v>
      </c>
      <c r="N24" s="197">
        <f t="shared" si="5"/>
        <v>1224.460394700749</v>
      </c>
      <c r="O24" s="197">
        <f t="shared" si="5"/>
        <v>1298.379252904544</v>
      </c>
      <c r="P24" s="197">
        <f t="shared" si="5"/>
        <v>1376.6779467016968</v>
      </c>
      <c r="Q24" s="197">
        <f t="shared" si="5"/>
        <v>1459.6124815278654</v>
      </c>
      <c r="R24" s="197">
        <f t="shared" si="5"/>
        <v>1547.4536737443077</v>
      </c>
      <c r="S24" s="197">
        <f t="shared" si="5"/>
        <v>1640.4880007072561</v>
      </c>
      <c r="T24" s="197">
        <f t="shared" si="5"/>
        <v>1739.018499318001</v>
      </c>
      <c r="U24" s="197">
        <f t="shared" si="5"/>
        <v>1843.3657158042324</v>
      </c>
      <c r="V24" s="197">
        <f t="shared" si="5"/>
        <v>1953.8687096386802</v>
      </c>
      <c r="W24" s="197">
        <f t="shared" si="5"/>
        <v>2070.8861146651234</v>
      </c>
      <c r="X24" s="197">
        <f t="shared" si="5"/>
        <v>2194.797260675271</v>
      </c>
      <c r="Y24" s="197">
        <f t="shared" si="5"/>
        <v>2326.0033588631049</v>
      </c>
      <c r="Z24" s="197">
        <f t="shared" si="5"/>
        <v>2464.928754776678</v>
      </c>
    </row>
    <row r="25" spans="1:26">
      <c r="A25" s="52"/>
      <c r="B25" s="17"/>
      <c r="C25" s="17"/>
      <c r="D25" s="17"/>
      <c r="E25" s="17"/>
      <c r="F25" s="17"/>
      <c r="G25" s="201"/>
      <c r="H25" s="199"/>
      <c r="I25" s="199"/>
      <c r="J25" s="199"/>
      <c r="K25" s="199"/>
      <c r="L25" s="199"/>
      <c r="M25" s="199"/>
      <c r="N25" s="199"/>
      <c r="O25" s="199"/>
      <c r="P25" s="199"/>
      <c r="Q25" s="199"/>
      <c r="R25" s="199"/>
      <c r="S25" s="199"/>
      <c r="T25" s="199"/>
      <c r="U25" s="199"/>
      <c r="V25" s="199"/>
      <c r="W25" s="199"/>
      <c r="X25" s="199"/>
      <c r="Y25" s="199"/>
      <c r="Z25" s="199"/>
    </row>
    <row r="26" spans="1:26">
      <c r="A26" s="52"/>
      <c r="B26" s="17" t="s">
        <v>33</v>
      </c>
      <c r="C26" s="17"/>
      <c r="D26" s="17"/>
      <c r="E26" s="17"/>
      <c r="F26" s="17"/>
      <c r="G26" s="201">
        <v>1</v>
      </c>
      <c r="H26" s="199">
        <f>G26/(1+0.1)</f>
        <v>0.90909090909090906</v>
      </c>
      <c r="I26" s="199">
        <f>H26/(1+0.1)</f>
        <v>0.82644628099173545</v>
      </c>
      <c r="J26" s="199">
        <f t="shared" ref="J26:Z26" si="6">I26/(1+0.1)</f>
        <v>0.75131480090157765</v>
      </c>
      <c r="K26" s="199">
        <f t="shared" si="6"/>
        <v>0.68301345536507052</v>
      </c>
      <c r="L26" s="199">
        <f t="shared" si="6"/>
        <v>0.62092132305915493</v>
      </c>
      <c r="M26" s="199">
        <f t="shared" si="6"/>
        <v>0.56447393005377711</v>
      </c>
      <c r="N26" s="199">
        <f t="shared" si="6"/>
        <v>0.51315811823070645</v>
      </c>
      <c r="O26" s="199">
        <f t="shared" si="6"/>
        <v>0.46650738020973309</v>
      </c>
      <c r="P26" s="199">
        <f t="shared" si="6"/>
        <v>0.42409761837248461</v>
      </c>
      <c r="Q26" s="199">
        <f t="shared" si="6"/>
        <v>0.38554328942953142</v>
      </c>
      <c r="R26" s="199">
        <f t="shared" si="6"/>
        <v>0.35049389948139215</v>
      </c>
      <c r="S26" s="199">
        <f t="shared" si="6"/>
        <v>0.31863081771035645</v>
      </c>
      <c r="T26" s="199">
        <f t="shared" si="6"/>
        <v>0.28966437973668768</v>
      </c>
      <c r="U26" s="199">
        <f t="shared" si="6"/>
        <v>0.26333125430607968</v>
      </c>
      <c r="V26" s="199">
        <f t="shared" si="6"/>
        <v>0.23939204936916333</v>
      </c>
      <c r="W26" s="199">
        <f t="shared" si="6"/>
        <v>0.21762913579014848</v>
      </c>
      <c r="X26" s="199">
        <f t="shared" si="6"/>
        <v>0.19784466890013497</v>
      </c>
      <c r="Y26" s="199">
        <f t="shared" si="6"/>
        <v>0.17985878990921358</v>
      </c>
      <c r="Z26" s="199">
        <f t="shared" si="6"/>
        <v>0.16350799082655779</v>
      </c>
    </row>
    <row r="27" spans="1:26">
      <c r="A27" s="52"/>
      <c r="B27" s="17" t="s">
        <v>34</v>
      </c>
      <c r="C27" s="17"/>
      <c r="D27" s="17"/>
      <c r="E27" s="17"/>
      <c r="F27" s="17"/>
      <c r="G27" s="211"/>
      <c r="H27" s="202">
        <f>H24*H26</f>
        <v>-3572.5957121818187</v>
      </c>
      <c r="I27" s="202">
        <f t="shared" ref="I27:Z27" si="7">I24*I26</f>
        <v>647.884252111911</v>
      </c>
      <c r="J27" s="202">
        <f t="shared" si="7"/>
        <v>727.22596075455351</v>
      </c>
      <c r="K27" s="202">
        <f t="shared" si="7"/>
        <v>701.20098128409745</v>
      </c>
      <c r="L27" s="202">
        <f t="shared" si="7"/>
        <v>676.06375385318574</v>
      </c>
      <c r="M27" s="202">
        <f t="shared" si="7"/>
        <v>651.78640384836274</v>
      </c>
      <c r="N27" s="202">
        <f t="shared" si="7"/>
        <v>628.34179199266441</v>
      </c>
      <c r="O27" s="202">
        <f t="shared" si="7"/>
        <v>605.70350379116928</v>
      </c>
      <c r="P27" s="202">
        <f t="shared" si="7"/>
        <v>583.84583846211194</v>
      </c>
      <c r="Q27" s="202">
        <f t="shared" si="7"/>
        <v>562.74379742065435</v>
      </c>
      <c r="R27" s="202">
        <f t="shared" si="7"/>
        <v>542.37307237744835</v>
      </c>
      <c r="S27" s="202">
        <f t="shared" si="7"/>
        <v>522.71003310938079</v>
      </c>
      <c r="T27" s="202">
        <f t="shared" si="7"/>
        <v>503.7317149555742</v>
      </c>
      <c r="U27" s="202">
        <f t="shared" si="7"/>
        <v>485.41580608755294</v>
      </c>
      <c r="V27" s="202">
        <f t="shared" si="7"/>
        <v>467.74063459868637</v>
      </c>
      <c r="W27" s="202">
        <f t="shared" si="7"/>
        <v>450.68515545438913</v>
      </c>
      <c r="X27" s="202">
        <f t="shared" si="7"/>
        <v>434.22893734122221</v>
      </c>
      <c r="Y27" s="202">
        <f t="shared" si="7"/>
        <v>418.35214944988434</v>
      </c>
      <c r="Z27" s="202">
        <f t="shared" si="7"/>
        <v>403.03554822414355</v>
      </c>
    </row>
    <row r="28" spans="1:26">
      <c r="A28" s="52"/>
      <c r="B28" s="17" t="s">
        <v>35</v>
      </c>
      <c r="C28" s="17"/>
      <c r="D28" s="17"/>
      <c r="E28" s="17"/>
      <c r="F28" s="17"/>
      <c r="G28" s="211"/>
      <c r="H28" s="202">
        <f>H24</f>
        <v>-3929.8552834000006</v>
      </c>
      <c r="I28" s="202">
        <f t="shared" ref="I28:Z28" si="8">I24</f>
        <v>783.93994505541241</v>
      </c>
      <c r="J28" s="202">
        <f t="shared" si="8"/>
        <v>967.93775376431086</v>
      </c>
      <c r="K28" s="202">
        <f t="shared" si="8"/>
        <v>1026.6283566980474</v>
      </c>
      <c r="L28" s="202">
        <f t="shared" si="8"/>
        <v>1088.8074362180946</v>
      </c>
      <c r="M28" s="202">
        <f t="shared" si="8"/>
        <v>1154.6793733880099</v>
      </c>
      <c r="N28" s="202">
        <f t="shared" si="8"/>
        <v>1224.460394700749</v>
      </c>
      <c r="O28" s="202">
        <f t="shared" si="8"/>
        <v>1298.379252904544</v>
      </c>
      <c r="P28" s="202">
        <f t="shared" si="8"/>
        <v>1376.6779467016968</v>
      </c>
      <c r="Q28" s="202">
        <f t="shared" si="8"/>
        <v>1459.6124815278654</v>
      </c>
      <c r="R28" s="202">
        <f t="shared" si="8"/>
        <v>1547.4536737443077</v>
      </c>
      <c r="S28" s="202">
        <f t="shared" si="8"/>
        <v>1640.4880007072561</v>
      </c>
      <c r="T28" s="202">
        <f t="shared" si="8"/>
        <v>1739.018499318001</v>
      </c>
      <c r="U28" s="202">
        <f t="shared" si="8"/>
        <v>1843.3657158042324</v>
      </c>
      <c r="V28" s="202">
        <f t="shared" si="8"/>
        <v>1953.8687096386802</v>
      </c>
      <c r="W28" s="202">
        <f t="shared" si="8"/>
        <v>2070.8861146651234</v>
      </c>
      <c r="X28" s="202">
        <f t="shared" si="8"/>
        <v>2194.797260675271</v>
      </c>
      <c r="Y28" s="202">
        <f t="shared" si="8"/>
        <v>2326.0033588631049</v>
      </c>
      <c r="Z28" s="202">
        <f t="shared" si="8"/>
        <v>2464.928754776678</v>
      </c>
    </row>
    <row r="29" spans="1:26">
      <c r="A29" s="53"/>
      <c r="B29" s="55" t="s">
        <v>443</v>
      </c>
      <c r="C29" s="55"/>
      <c r="D29" s="55"/>
      <c r="E29" s="55"/>
      <c r="F29" s="55"/>
      <c r="G29" s="212"/>
      <c r="H29" s="213">
        <f>H24</f>
        <v>-3929.8552834000006</v>
      </c>
      <c r="I29" s="213">
        <f>H29+I24</f>
        <v>-3145.9153383445882</v>
      </c>
      <c r="J29" s="213">
        <f t="shared" ref="J29:Z29" si="9">I29+J24</f>
        <v>-2177.9775845802774</v>
      </c>
      <c r="K29" s="213">
        <f t="shared" si="9"/>
        <v>-1151.34922788223</v>
      </c>
      <c r="L29" s="213">
        <f t="shared" si="9"/>
        <v>-62.541791664135417</v>
      </c>
      <c r="M29" s="213">
        <f t="shared" si="9"/>
        <v>1092.1375817238745</v>
      </c>
      <c r="N29" s="213">
        <f t="shared" si="9"/>
        <v>2316.5979764246235</v>
      </c>
      <c r="O29" s="213">
        <f t="shared" si="9"/>
        <v>3614.9772293291676</v>
      </c>
      <c r="P29" s="213">
        <f t="shared" si="9"/>
        <v>4991.6551760308648</v>
      </c>
      <c r="Q29" s="213">
        <f t="shared" si="9"/>
        <v>6451.2676575587302</v>
      </c>
      <c r="R29" s="213">
        <f t="shared" si="9"/>
        <v>7998.7213313030379</v>
      </c>
      <c r="S29" s="213">
        <f t="shared" si="9"/>
        <v>9639.209332010294</v>
      </c>
      <c r="T29" s="213">
        <f t="shared" si="9"/>
        <v>11378.227831328295</v>
      </c>
      <c r="U29" s="213">
        <f t="shared" si="9"/>
        <v>13221.593547132528</v>
      </c>
      <c r="V29" s="213">
        <f t="shared" si="9"/>
        <v>15175.462256771209</v>
      </c>
      <c r="W29" s="213">
        <f t="shared" si="9"/>
        <v>17246.348371436332</v>
      </c>
      <c r="X29" s="213">
        <f t="shared" si="9"/>
        <v>19441.145632111602</v>
      </c>
      <c r="Y29" s="213">
        <f t="shared" si="9"/>
        <v>21767.148990974707</v>
      </c>
      <c r="Z29" s="213">
        <f t="shared" si="9"/>
        <v>24232.077745751383</v>
      </c>
    </row>
    <row r="30" spans="1:26">
      <c r="A30" s="52"/>
      <c r="B30" s="17"/>
      <c r="C30" s="17"/>
      <c r="D30" s="17"/>
      <c r="E30" s="17"/>
      <c r="F30" s="17"/>
      <c r="G30" s="201"/>
      <c r="H30" s="202"/>
      <c r="I30" s="202"/>
      <c r="J30" s="202"/>
      <c r="K30" s="202"/>
      <c r="L30" s="202"/>
      <c r="M30" s="202"/>
      <c r="N30" s="202"/>
      <c r="O30" s="202"/>
      <c r="P30" s="202"/>
      <c r="Q30" s="202"/>
      <c r="R30" s="202"/>
      <c r="S30" s="202"/>
      <c r="T30" s="202"/>
      <c r="U30" s="202"/>
      <c r="V30" s="202"/>
      <c r="W30" s="202"/>
      <c r="X30" s="202"/>
      <c r="Y30" s="202"/>
      <c r="Z30" s="202"/>
    </row>
    <row r="31" spans="1:26">
      <c r="A31" s="52"/>
      <c r="B31" s="17"/>
      <c r="C31" s="17"/>
      <c r="D31" s="17"/>
      <c r="E31" s="17"/>
      <c r="F31" s="17"/>
      <c r="G31" s="201"/>
      <c r="H31" s="202"/>
      <c r="I31" s="202"/>
      <c r="J31" s="202"/>
      <c r="K31" s="202"/>
      <c r="L31" s="202"/>
      <c r="M31" s="202"/>
      <c r="N31" s="202"/>
      <c r="O31" s="202"/>
      <c r="P31" s="202"/>
      <c r="Q31" s="202"/>
      <c r="R31" s="202"/>
      <c r="S31" s="202"/>
      <c r="T31" s="202"/>
      <c r="U31" s="202"/>
      <c r="V31" s="202"/>
      <c r="W31" s="202"/>
      <c r="X31" s="202"/>
      <c r="Y31" s="202"/>
      <c r="Z31" s="202"/>
    </row>
    <row r="32" spans="1:26">
      <c r="A32" s="52"/>
      <c r="B32" s="214" t="s">
        <v>36</v>
      </c>
      <c r="C32" s="215"/>
      <c r="D32" s="215"/>
      <c r="E32" s="215"/>
      <c r="F32" s="215"/>
      <c r="G32" s="298">
        <f>NPV(0%,(H27:Z27))</f>
        <v>6440.4736229351747</v>
      </c>
      <c r="H32" s="216"/>
      <c r="I32" s="199"/>
      <c r="J32" s="199"/>
      <c r="K32" s="199"/>
      <c r="L32" s="199"/>
      <c r="M32" s="199"/>
      <c r="N32" s="199"/>
      <c r="O32" s="199"/>
      <c r="P32" s="199"/>
      <c r="Q32" s="199"/>
      <c r="R32" s="199"/>
      <c r="S32" s="199"/>
      <c r="T32" s="199"/>
      <c r="U32" s="199"/>
      <c r="V32" s="199"/>
      <c r="W32" s="199"/>
      <c r="X32" s="199"/>
      <c r="Y32" s="199"/>
      <c r="Z32" s="199"/>
    </row>
    <row r="33" spans="1:26">
      <c r="A33" s="52"/>
      <c r="B33" s="217" t="s">
        <v>37</v>
      </c>
      <c r="C33" s="218"/>
      <c r="D33" s="218"/>
      <c r="E33" s="218"/>
      <c r="F33" s="218"/>
      <c r="G33" s="300">
        <f>IRR(C24:Z24,0.1)</f>
        <v>0.11950758645584525</v>
      </c>
      <c r="H33" s="219"/>
      <c r="I33" s="199"/>
      <c r="J33" s="199"/>
      <c r="K33" s="199"/>
      <c r="L33" s="199"/>
      <c r="M33" s="199"/>
      <c r="N33" s="199"/>
      <c r="O33" s="199"/>
      <c r="P33" s="199"/>
      <c r="Q33" s="199"/>
      <c r="R33" s="199"/>
      <c r="S33" s="199"/>
      <c r="T33" s="199"/>
      <c r="U33" s="199"/>
      <c r="V33" s="199"/>
      <c r="W33" s="199"/>
      <c r="X33" s="199"/>
      <c r="Y33" s="199"/>
      <c r="Z33" s="199"/>
    </row>
    <row r="34" spans="1:26">
      <c r="A34" s="52"/>
      <c r="B34" s="220" t="s">
        <v>396</v>
      </c>
      <c r="C34" s="221"/>
      <c r="D34" s="221"/>
      <c r="E34" s="221"/>
      <c r="F34" s="221"/>
      <c r="G34" s="299">
        <f>IF(SUM(H39:Z39)&lt;=25,SUM(H39:Z39)," N/A ")</f>
        <v>5.0541637731698872</v>
      </c>
      <c r="H34" s="222"/>
      <c r="I34" s="199"/>
      <c r="J34" s="199"/>
      <c r="K34" s="199"/>
      <c r="L34" s="199"/>
      <c r="M34" s="199"/>
      <c r="N34" s="199"/>
      <c r="O34" s="199"/>
      <c r="P34" s="199"/>
      <c r="Q34" s="199"/>
      <c r="R34" s="199"/>
      <c r="S34" s="199"/>
      <c r="T34" s="199"/>
      <c r="U34" s="199"/>
      <c r="V34" s="199"/>
      <c r="W34" s="199"/>
      <c r="X34" s="199"/>
      <c r="Y34" s="199"/>
      <c r="Z34" s="199"/>
    </row>
    <row r="35" spans="1:26" ht="23.25" customHeight="1">
      <c r="A35" s="52"/>
      <c r="B35" s="307" t="s">
        <v>397</v>
      </c>
      <c r="C35" s="308"/>
      <c r="D35" s="308"/>
      <c r="E35" s="308"/>
      <c r="F35" s="308"/>
      <c r="G35" s="311">
        <f>IF(SUM(H40:Z40)&lt;=25,SUM(H40:Z40)," N/A ")</f>
        <v>5.0959544281606179</v>
      </c>
      <c r="H35" s="310"/>
      <c r="I35" s="199"/>
      <c r="J35" s="199"/>
      <c r="K35" s="199"/>
      <c r="L35" s="199"/>
      <c r="M35" s="199"/>
      <c r="N35" s="199"/>
      <c r="O35" s="199"/>
      <c r="P35" s="199"/>
      <c r="Q35" s="199"/>
      <c r="R35" s="199"/>
      <c r="S35" s="199"/>
      <c r="T35" s="199"/>
      <c r="U35" s="199"/>
      <c r="V35" s="199"/>
      <c r="W35" s="199"/>
      <c r="X35" s="199"/>
      <c r="Y35" s="199"/>
      <c r="Z35" s="199"/>
    </row>
    <row r="36" spans="1:26">
      <c r="A36" s="286"/>
      <c r="G36" s="1"/>
      <c r="H36" s="223">
        <v>1</v>
      </c>
      <c r="I36" s="301">
        <v>2</v>
      </c>
      <c r="J36" s="301">
        <v>3</v>
      </c>
      <c r="K36" s="301">
        <v>4</v>
      </c>
      <c r="L36" s="301">
        <v>5</v>
      </c>
      <c r="M36" s="301">
        <v>6</v>
      </c>
      <c r="N36" s="301">
        <v>7</v>
      </c>
      <c r="O36" s="301">
        <v>8</v>
      </c>
      <c r="P36" s="301">
        <v>9</v>
      </c>
      <c r="Q36" s="301">
        <v>10</v>
      </c>
      <c r="R36" s="301">
        <v>11</v>
      </c>
      <c r="S36" s="301">
        <v>12</v>
      </c>
      <c r="T36" s="301">
        <v>13</v>
      </c>
      <c r="U36" s="301">
        <v>14</v>
      </c>
      <c r="V36" s="301">
        <v>15</v>
      </c>
      <c r="W36" s="301">
        <v>16</v>
      </c>
      <c r="X36" s="301">
        <v>17</v>
      </c>
      <c r="Y36" s="301">
        <v>18</v>
      </c>
      <c r="Z36" s="302">
        <v>19</v>
      </c>
    </row>
    <row r="37" spans="1:26">
      <c r="A37" s="2"/>
      <c r="B37" s="303" t="s">
        <v>398</v>
      </c>
      <c r="G37" s="1"/>
      <c r="H37" s="223">
        <f t="shared" ref="H37:Z37" si="10">IF(H29&lt;0,1,IF(H28=0,0,-G29/H28))</f>
        <v>1</v>
      </c>
      <c r="I37" s="223">
        <f t="shared" si="10"/>
        <v>1</v>
      </c>
      <c r="J37" s="223">
        <f t="shared" si="10"/>
        <v>1</v>
      </c>
      <c r="K37" s="223">
        <f t="shared" si="10"/>
        <v>1</v>
      </c>
      <c r="L37" s="223">
        <f t="shared" si="10"/>
        <v>1</v>
      </c>
      <c r="M37" s="223">
        <f t="shared" si="10"/>
        <v>5.4163773169886992E-2</v>
      </c>
      <c r="N37" s="223">
        <f t="shared" si="10"/>
        <v>-0.89193377462468815</v>
      </c>
      <c r="O37" s="223">
        <f t="shared" si="10"/>
        <v>-1.7842228849870094</v>
      </c>
      <c r="P37" s="223">
        <f t="shared" si="10"/>
        <v>-2.6258699342065315</v>
      </c>
      <c r="Q37" s="223">
        <f t="shared" si="10"/>
        <v>-3.4198496102238005</v>
      </c>
      <c r="R37" s="223">
        <f t="shared" si="10"/>
        <v>-4.1689568915810407</v>
      </c>
      <c r="S37" s="223">
        <f t="shared" si="10"/>
        <v>-4.8758182491152544</v>
      </c>
      <c r="T37" s="223">
        <f t="shared" si="10"/>
        <v>-5.5429021231174644</v>
      </c>
      <c r="U37" s="223">
        <f t="shared" si="10"/>
        <v>-6.1725287249167193</v>
      </c>
      <c r="V37" s="223">
        <f t="shared" si="10"/>
        <v>-6.7668792083668379</v>
      </c>
      <c r="W37" s="223">
        <f t="shared" si="10"/>
        <v>-7.3280042534956999</v>
      </c>
      <c r="X37" s="223">
        <f t="shared" si="10"/>
        <v>-7.8578321015992909</v>
      </c>
      <c r="Y37" s="223">
        <f t="shared" si="10"/>
        <v>-8.358176078307114</v>
      </c>
      <c r="Z37" s="306">
        <f t="shared" si="10"/>
        <v>-8.8307416385942581</v>
      </c>
    </row>
    <row r="38" spans="1:26">
      <c r="A38" s="63"/>
      <c r="B38" s="303" t="s">
        <v>399</v>
      </c>
      <c r="G38" s="1"/>
      <c r="H38" s="223">
        <f t="shared" ref="H38:Z38" si="11">IF(H29&lt;0,1,IF(H27=0,0,-G29/H27))</f>
        <v>1</v>
      </c>
      <c r="I38" s="223">
        <f t="shared" si="11"/>
        <v>1</v>
      </c>
      <c r="J38" s="223">
        <f t="shared" si="11"/>
        <v>1</v>
      </c>
      <c r="K38" s="223">
        <f t="shared" si="11"/>
        <v>1</v>
      </c>
      <c r="L38" s="223">
        <f t="shared" si="11"/>
        <v>1</v>
      </c>
      <c r="M38" s="223">
        <f t="shared" si="11"/>
        <v>9.5954428160618221E-2</v>
      </c>
      <c r="N38" s="223">
        <f t="shared" si="11"/>
        <v>-1.7381265986786769</v>
      </c>
      <c r="O38" s="223">
        <f t="shared" si="11"/>
        <v>-3.8246402108040733</v>
      </c>
      <c r="P38" s="223">
        <f t="shared" si="11"/>
        <v>-6.1916639482286175</v>
      </c>
      <c r="Q38" s="223">
        <f t="shared" si="11"/>
        <v>-8.8702091411939143</v>
      </c>
      <c r="R38" s="223">
        <f t="shared" si="11"/>
        <v>-11.894520554422295</v>
      </c>
      <c r="S38" s="223">
        <f t="shared" si="11"/>
        <v>-15.302406352757435</v>
      </c>
      <c r="T38" s="223">
        <f t="shared" si="11"/>
        <v>-19.13560144383684</v>
      </c>
      <c r="U38" s="223">
        <f t="shared" si="11"/>
        <v>-23.440167560749021</v>
      </c>
      <c r="V38" s="223">
        <f t="shared" si="11"/>
        <v>-28.266933785807243</v>
      </c>
      <c r="W38" s="223">
        <f t="shared" si="11"/>
        <v>-33.671981588723568</v>
      </c>
      <c r="X38" s="223">
        <f t="shared" si="11"/>
        <v>-39.717178861997283</v>
      </c>
      <c r="Y38" s="223">
        <f t="shared" si="11"/>
        <v>-46.470767886996398</v>
      </c>
      <c r="Z38" s="306">
        <f t="shared" si="11"/>
        <v>-54.008012660136764</v>
      </c>
    </row>
    <row r="39" spans="1:26">
      <c r="A39" s="2"/>
      <c r="B39" s="303" t="s">
        <v>400</v>
      </c>
      <c r="G39" s="1"/>
      <c r="H39" s="296">
        <f>IF(H37&gt;0,H37,0)</f>
        <v>1</v>
      </c>
      <c r="I39" s="296">
        <f t="shared" ref="I39:Z40" si="12">IF(I37&gt;0,I37,0)</f>
        <v>1</v>
      </c>
      <c r="J39" s="296">
        <f t="shared" si="12"/>
        <v>1</v>
      </c>
      <c r="K39" s="296">
        <f t="shared" si="12"/>
        <v>1</v>
      </c>
      <c r="L39" s="296">
        <f t="shared" si="12"/>
        <v>1</v>
      </c>
      <c r="M39" s="296">
        <f t="shared" si="12"/>
        <v>5.4163773169886992E-2</v>
      </c>
      <c r="N39" s="296">
        <f t="shared" si="12"/>
        <v>0</v>
      </c>
      <c r="O39" s="296">
        <f t="shared" si="12"/>
        <v>0</v>
      </c>
      <c r="P39" s="296">
        <f t="shared" si="12"/>
        <v>0</v>
      </c>
      <c r="Q39" s="296">
        <f t="shared" si="12"/>
        <v>0</v>
      </c>
      <c r="R39" s="296">
        <f t="shared" si="12"/>
        <v>0</v>
      </c>
      <c r="S39" s="296">
        <f t="shared" si="12"/>
        <v>0</v>
      </c>
      <c r="T39" s="296">
        <f t="shared" si="12"/>
        <v>0</v>
      </c>
      <c r="U39" s="296">
        <f t="shared" si="12"/>
        <v>0</v>
      </c>
      <c r="V39" s="296">
        <f t="shared" si="12"/>
        <v>0</v>
      </c>
      <c r="W39" s="296">
        <f t="shared" si="12"/>
        <v>0</v>
      </c>
      <c r="X39" s="296">
        <f t="shared" si="12"/>
        <v>0</v>
      </c>
      <c r="Y39" s="296">
        <f t="shared" si="12"/>
        <v>0</v>
      </c>
      <c r="Z39" s="297">
        <f t="shared" si="12"/>
        <v>0</v>
      </c>
    </row>
    <row r="40" spans="1:26">
      <c r="A40" s="224"/>
      <c r="B40" s="295" t="s">
        <v>401</v>
      </c>
      <c r="C40" s="225"/>
      <c r="D40" s="225"/>
      <c r="E40" s="225"/>
      <c r="F40" s="225"/>
      <c r="G40" s="225"/>
      <c r="H40" s="304">
        <f>IF(H38&gt;0,H38,0)</f>
        <v>1</v>
      </c>
      <c r="I40" s="304">
        <f t="shared" si="12"/>
        <v>1</v>
      </c>
      <c r="J40" s="304">
        <f t="shared" si="12"/>
        <v>1</v>
      </c>
      <c r="K40" s="304">
        <f t="shared" si="12"/>
        <v>1</v>
      </c>
      <c r="L40" s="304">
        <f t="shared" si="12"/>
        <v>1</v>
      </c>
      <c r="M40" s="304">
        <f t="shared" si="12"/>
        <v>9.5954428160618221E-2</v>
      </c>
      <c r="N40" s="304">
        <f t="shared" si="12"/>
        <v>0</v>
      </c>
      <c r="O40" s="304">
        <f t="shared" si="12"/>
        <v>0</v>
      </c>
      <c r="P40" s="304">
        <f t="shared" si="12"/>
        <v>0</v>
      </c>
      <c r="Q40" s="304">
        <f t="shared" si="12"/>
        <v>0</v>
      </c>
      <c r="R40" s="304">
        <f t="shared" si="12"/>
        <v>0</v>
      </c>
      <c r="S40" s="304">
        <f t="shared" si="12"/>
        <v>0</v>
      </c>
      <c r="T40" s="304">
        <f t="shared" si="12"/>
        <v>0</v>
      </c>
      <c r="U40" s="304">
        <f t="shared" si="12"/>
        <v>0</v>
      </c>
      <c r="V40" s="304">
        <f t="shared" si="12"/>
        <v>0</v>
      </c>
      <c r="W40" s="304">
        <f t="shared" si="12"/>
        <v>0</v>
      </c>
      <c r="X40" s="304">
        <f t="shared" si="12"/>
        <v>0</v>
      </c>
      <c r="Y40" s="304">
        <f t="shared" si="12"/>
        <v>0</v>
      </c>
      <c r="Z40" s="305">
        <f t="shared" si="12"/>
        <v>0</v>
      </c>
    </row>
    <row r="41" spans="1:26">
      <c r="C41" s="163"/>
      <c r="D41" s="163"/>
      <c r="E41" s="163"/>
      <c r="F41" s="163"/>
    </row>
    <row r="42" spans="1:26">
      <c r="C42" s="163"/>
      <c r="D42" s="163"/>
      <c r="E42" s="163"/>
      <c r="F42" s="163"/>
    </row>
    <row r="43" spans="1:26">
      <c r="C43" s="163"/>
      <c r="D43" s="163"/>
      <c r="E43" s="163"/>
      <c r="F43" s="163"/>
    </row>
    <row r="44" spans="1:26">
      <c r="C44" s="163"/>
      <c r="D44" s="163"/>
      <c r="E44" s="163"/>
      <c r="F44" s="163"/>
    </row>
    <row r="45" spans="1:26">
      <c r="C45" s="163"/>
      <c r="D45" s="163"/>
      <c r="E45" s="163"/>
      <c r="F45" s="163"/>
    </row>
    <row r="46" spans="1:26">
      <c r="C46" s="163"/>
      <c r="D46" s="163"/>
      <c r="E46" s="163"/>
      <c r="F46" s="163"/>
    </row>
    <row r="47" spans="1:26">
      <c r="C47" s="163"/>
      <c r="D47" s="163"/>
      <c r="E47" s="163"/>
      <c r="F47" s="163"/>
    </row>
    <row r="48" spans="1:26">
      <c r="A48" s="286"/>
      <c r="B48" s="287" t="s">
        <v>389</v>
      </c>
      <c r="C48" s="287"/>
      <c r="D48" s="287"/>
      <c r="E48" s="287"/>
      <c r="F48" s="287"/>
      <c r="G48" s="287"/>
      <c r="H48" s="158">
        <f>H11/(500000*H3)*10^7</f>
        <v>74749.509166666656</v>
      </c>
      <c r="I48" s="158">
        <f t="shared" ref="I48:Z48" si="13">I11/(500000*I3)*10^7</f>
        <v>79050.595924116642</v>
      </c>
      <c r="J48" s="158">
        <f t="shared" si="13"/>
        <v>83599.167213590306</v>
      </c>
      <c r="K48" s="158">
        <f t="shared" si="13"/>
        <v>88409.463295060312</v>
      </c>
      <c r="L48" s="158">
        <f t="shared" si="13"/>
        <v>93496.54381305803</v>
      </c>
      <c r="M48" s="158">
        <f t="shared" si="13"/>
        <v>98876.334944061411</v>
      </c>
      <c r="N48" s="158">
        <f t="shared" si="13"/>
        <v>104565.67925674267</v>
      </c>
      <c r="O48" s="158">
        <f t="shared" si="13"/>
        <v>110582.38844117564</v>
      </c>
      <c r="P48" s="158">
        <f t="shared" si="13"/>
        <v>116945.29907208087</v>
      </c>
      <c r="Q48" s="158">
        <f t="shared" si="13"/>
        <v>123674.33158068838</v>
      </c>
      <c r="R48" s="158">
        <f t="shared" si="13"/>
        <v>130790.55261984114</v>
      </c>
      <c r="S48" s="158">
        <f t="shared" si="13"/>
        <v>138316.24101758684</v>
      </c>
      <c r="T48" s="158">
        <f t="shared" si="13"/>
        <v>146274.95752573875</v>
      </c>
      <c r="U48" s="158">
        <f t="shared" si="13"/>
        <v>154691.61858176976</v>
      </c>
      <c r="V48" s="158">
        <f t="shared" si="13"/>
        <v>163592.57431496476</v>
      </c>
      <c r="W48" s="158">
        <f t="shared" si="13"/>
        <v>173005.69104104786</v>
      </c>
      <c r="X48" s="158">
        <f t="shared" si="13"/>
        <v>182960.43850354973</v>
      </c>
      <c r="Y48" s="158">
        <f t="shared" si="13"/>
        <v>193487.98213504392</v>
      </c>
      <c r="Z48" s="158">
        <f t="shared" si="13"/>
        <v>204621.2806270943</v>
      </c>
    </row>
    <row r="49" spans="1:26" s="32" customFormat="1">
      <c r="A49" s="2"/>
      <c r="B49" s="1" t="s">
        <v>390</v>
      </c>
      <c r="C49" s="1"/>
      <c r="D49" s="1"/>
      <c r="E49" s="1"/>
      <c r="F49" s="1"/>
      <c r="G49" s="1"/>
      <c r="H49" s="75">
        <f>H19/(500000*H3)*10^7</f>
        <v>60530.51726380951</v>
      </c>
      <c r="I49" s="75">
        <f>I19/(500000*I3)*10^7</f>
        <v>61629.70825621859</v>
      </c>
      <c r="J49" s="75">
        <f t="shared" ref="J49:Z49" si="14">J19/(500000)*10^7</f>
        <v>64240.412138304084</v>
      </c>
      <c r="K49" s="75">
        <f t="shared" si="14"/>
        <v>67876.896161099357</v>
      </c>
      <c r="L49" s="75">
        <f t="shared" si="14"/>
        <v>71720.395088696139</v>
      </c>
      <c r="M49" s="75">
        <f t="shared" si="14"/>
        <v>75782.7474763012</v>
      </c>
      <c r="N49" s="75">
        <f t="shared" si="14"/>
        <v>80076.471362727709</v>
      </c>
      <c r="O49" s="75">
        <f t="shared" si="14"/>
        <v>84614.803383084771</v>
      </c>
      <c r="P49" s="75">
        <f t="shared" si="14"/>
        <v>89411.740138046938</v>
      </c>
      <c r="Q49" s="75">
        <f t="shared" si="14"/>
        <v>94482.081950131076</v>
      </c>
      <c r="R49" s="75">
        <f t="shared" si="14"/>
        <v>99841.479144954996</v>
      </c>
      <c r="S49" s="75">
        <f t="shared" si="14"/>
        <v>105506.48100344172</v>
      </c>
      <c r="T49" s="75">
        <f t="shared" si="14"/>
        <v>111494.58753937873</v>
      </c>
      <c r="U49" s="75">
        <f t="shared" si="14"/>
        <v>117824.30426568512</v>
      </c>
      <c r="V49" s="75">
        <f t="shared" si="14"/>
        <v>124515.20012219115</v>
      </c>
      <c r="W49" s="75">
        <f t="shared" si="14"/>
        <v>131587.96874774538</v>
      </c>
      <c r="X49" s="75">
        <f t="shared" si="14"/>
        <v>139064.49329004428</v>
      </c>
      <c r="Y49" s="75">
        <f t="shared" si="14"/>
        <v>146967.91495778182</v>
      </c>
      <c r="Z49" s="75">
        <f t="shared" si="14"/>
        <v>155322.70553156076</v>
      </c>
    </row>
    <row r="50" spans="1:26" s="32" customFormat="1">
      <c r="A50" s="224"/>
      <c r="B50" s="225" t="s">
        <v>391</v>
      </c>
      <c r="C50" s="225"/>
      <c r="D50" s="225"/>
      <c r="E50" s="225"/>
      <c r="F50" s="225"/>
      <c r="G50" s="225"/>
      <c r="H50" s="289">
        <f>H48-H49</f>
        <v>14218.991902857146</v>
      </c>
      <c r="I50" s="289">
        <f t="shared" ref="I50:Z50" si="15">I48-I49</f>
        <v>17420.887667898052</v>
      </c>
      <c r="J50" s="289">
        <f t="shared" si="15"/>
        <v>19358.755075286223</v>
      </c>
      <c r="K50" s="289">
        <f t="shared" si="15"/>
        <v>20532.567133960954</v>
      </c>
      <c r="L50" s="289">
        <f t="shared" si="15"/>
        <v>21776.14872436189</v>
      </c>
      <c r="M50" s="289">
        <f t="shared" si="15"/>
        <v>23093.587467760211</v>
      </c>
      <c r="N50" s="289">
        <f t="shared" si="15"/>
        <v>24489.207894014966</v>
      </c>
      <c r="O50" s="289">
        <f t="shared" si="15"/>
        <v>25967.585058090874</v>
      </c>
      <c r="P50" s="289">
        <f t="shared" si="15"/>
        <v>27533.558934033936</v>
      </c>
      <c r="Q50" s="289">
        <f t="shared" si="15"/>
        <v>29192.2496305573</v>
      </c>
      <c r="R50" s="289">
        <f t="shared" si="15"/>
        <v>30949.073474886143</v>
      </c>
      <c r="S50" s="289">
        <f t="shared" si="15"/>
        <v>32809.760014145126</v>
      </c>
      <c r="T50" s="289">
        <f t="shared" si="15"/>
        <v>34780.36998636002</v>
      </c>
      <c r="U50" s="289">
        <f t="shared" si="15"/>
        <v>36867.314316084638</v>
      </c>
      <c r="V50" s="289">
        <f t="shared" si="15"/>
        <v>39077.374192773612</v>
      </c>
      <c r="W50" s="289">
        <f t="shared" si="15"/>
        <v>41417.722293302475</v>
      </c>
      <c r="X50" s="289">
        <f t="shared" si="15"/>
        <v>43895.945213505445</v>
      </c>
      <c r="Y50" s="289">
        <f t="shared" si="15"/>
        <v>46520.067177262099</v>
      </c>
      <c r="Z50" s="42">
        <f t="shared" si="15"/>
        <v>49298.575095533539</v>
      </c>
    </row>
    <row r="51" spans="1:26" s="32" customFormat="1">
      <c r="A51" s="58"/>
      <c r="C51" s="1"/>
      <c r="D51" s="1"/>
      <c r="E51" s="1"/>
      <c r="F51" s="1"/>
      <c r="G51" s="58"/>
      <c r="H51" s="617">
        <f>H50/H48</f>
        <v>0.19022187652300834</v>
      </c>
      <c r="L51" s="226"/>
      <c r="M51" s="226"/>
      <c r="N51" s="226"/>
      <c r="O51" s="226"/>
      <c r="P51" s="226"/>
      <c r="Q51" s="226"/>
    </row>
    <row r="52" spans="1:26" s="32" customFormat="1">
      <c r="A52" s="58"/>
      <c r="C52" s="1"/>
      <c r="D52" s="1"/>
      <c r="E52" s="1"/>
      <c r="F52" s="1"/>
      <c r="G52" s="58"/>
    </row>
    <row r="53" spans="1:26" s="32" customFormat="1">
      <c r="A53" s="58"/>
      <c r="B53" s="227" t="s">
        <v>395</v>
      </c>
      <c r="C53" s="228">
        <v>4.4999999999999998E-2</v>
      </c>
      <c r="D53" s="1"/>
      <c r="E53" s="1"/>
      <c r="F53" s="1"/>
      <c r="G53" s="58"/>
    </row>
    <row r="54" spans="1:26" s="32" customFormat="1">
      <c r="A54" s="58"/>
      <c r="B54" s="227" t="s">
        <v>346</v>
      </c>
      <c r="C54" s="230">
        <v>4</v>
      </c>
      <c r="D54" s="1"/>
      <c r="E54" s="1"/>
      <c r="F54" s="1"/>
      <c r="G54" s="58"/>
    </row>
    <row r="55" spans="1:26" s="32" customFormat="1" ht="14.45" customHeight="1">
      <c r="A55" s="58"/>
      <c r="C55" s="1"/>
      <c r="D55" s="1"/>
      <c r="E55" s="1"/>
      <c r="F55" s="1"/>
      <c r="G55" s="58"/>
    </row>
    <row r="56" spans="1:26" s="32" customFormat="1">
      <c r="A56" s="58"/>
      <c r="B56" s="1"/>
      <c r="C56" s="1"/>
      <c r="D56" s="1"/>
      <c r="E56" s="1"/>
      <c r="F56" s="1"/>
      <c r="G56" s="58"/>
    </row>
    <row r="59" spans="1:26" s="32" customFormat="1">
      <c r="A59" s="58"/>
      <c r="B59" s="1"/>
      <c r="E59" s="1"/>
      <c r="F59" s="1"/>
      <c r="G59" s="58"/>
      <c r="I59" s="226"/>
      <c r="J59" s="226"/>
      <c r="K59" s="226"/>
      <c r="L59" s="226"/>
      <c r="M59" s="226"/>
      <c r="N59" s="226"/>
      <c r="P59" s="226"/>
    </row>
    <row r="60" spans="1:26" s="32" customFormat="1">
      <c r="A60" s="58"/>
      <c r="B60" s="1"/>
      <c r="E60" s="1"/>
      <c r="F60" s="1"/>
      <c r="G60" s="58"/>
      <c r="I60" s="229"/>
      <c r="J60" s="1083"/>
      <c r="K60" s="1083"/>
      <c r="L60" s="1083"/>
      <c r="M60" s="1083"/>
      <c r="N60" s="1083"/>
    </row>
    <row r="61" spans="1:26" s="32" customFormat="1">
      <c r="A61" s="58"/>
      <c r="B61" s="1"/>
      <c r="E61" s="1"/>
      <c r="F61" s="1"/>
      <c r="G61" s="58"/>
      <c r="I61" s="226"/>
      <c r="J61" s="226"/>
      <c r="K61" s="226"/>
      <c r="L61" s="226"/>
      <c r="M61" s="226"/>
      <c r="N61" s="226"/>
      <c r="P61" s="226"/>
    </row>
    <row r="62" spans="1:26" s="32" customFormat="1">
      <c r="A62" s="58"/>
      <c r="B62" s="1"/>
      <c r="E62" s="1"/>
      <c r="F62" s="1"/>
      <c r="G62" s="58"/>
      <c r="I62" s="226"/>
      <c r="J62" s="226"/>
      <c r="K62" s="226"/>
      <c r="L62" s="226"/>
      <c r="M62" s="226"/>
      <c r="N62" s="226"/>
      <c r="P62" s="226"/>
    </row>
    <row r="63" spans="1:26" s="32" customFormat="1">
      <c r="A63" s="58"/>
      <c r="B63" s="1"/>
      <c r="C63" s="1"/>
      <c r="D63" s="1"/>
      <c r="E63" s="1"/>
      <c r="F63" s="1"/>
      <c r="G63" s="58"/>
      <c r="I63" s="229"/>
      <c r="J63" s="1083"/>
      <c r="K63" s="1083"/>
      <c r="L63" s="1083"/>
      <c r="M63" s="1083"/>
      <c r="N63" s="1083"/>
    </row>
    <row r="64" spans="1:26" s="32" customFormat="1">
      <c r="A64" s="58"/>
      <c r="B64" s="1"/>
      <c r="C64" s="1"/>
      <c r="D64" s="1"/>
      <c r="E64" s="1"/>
      <c r="F64" s="1"/>
      <c r="G64" s="58"/>
      <c r="I64" s="226"/>
      <c r="J64" s="226"/>
      <c r="K64" s="226"/>
      <c r="L64" s="226"/>
      <c r="M64" s="226"/>
      <c r="N64" s="226"/>
      <c r="P64" s="226"/>
    </row>
    <row r="65" spans="1:16" s="32" customFormat="1">
      <c r="A65" s="58"/>
      <c r="B65" s="1"/>
      <c r="C65" s="1"/>
      <c r="D65" s="1"/>
      <c r="E65" s="1"/>
      <c r="F65" s="1"/>
      <c r="G65" s="58"/>
      <c r="I65" s="226"/>
      <c r="J65" s="226"/>
      <c r="K65" s="226"/>
      <c r="L65" s="226"/>
      <c r="M65" s="226"/>
      <c r="N65" s="226"/>
      <c r="P65" s="226"/>
    </row>
    <row r="66" spans="1:16" s="32" customFormat="1">
      <c r="A66" s="58"/>
      <c r="B66" s="1"/>
      <c r="C66" s="1"/>
      <c r="D66" s="1"/>
      <c r="E66" s="1"/>
      <c r="F66" s="1"/>
      <c r="G66" s="58"/>
      <c r="I66" s="229"/>
      <c r="J66" s="1083"/>
      <c r="K66" s="1083"/>
      <c r="L66" s="1083"/>
      <c r="M66" s="1083"/>
      <c r="N66" s="1083"/>
    </row>
    <row r="67" spans="1:16" s="32" customFormat="1">
      <c r="A67" s="58"/>
      <c r="B67" s="1"/>
      <c r="C67" s="1"/>
      <c r="D67" s="1"/>
      <c r="E67" s="1"/>
      <c r="F67" s="1"/>
      <c r="G67" s="58"/>
      <c r="I67" s="226"/>
      <c r="J67" s="226"/>
      <c r="K67" s="226"/>
      <c r="L67" s="226"/>
      <c r="M67" s="226"/>
      <c r="N67" s="226"/>
      <c r="P67" s="226"/>
    </row>
    <row r="68" spans="1:16" s="32" customFormat="1">
      <c r="A68" s="58"/>
      <c r="B68" s="1"/>
      <c r="C68" s="1"/>
      <c r="D68" s="1"/>
      <c r="E68" s="1"/>
      <c r="F68" s="1"/>
      <c r="G68" s="58"/>
      <c r="I68" s="226"/>
      <c r="J68" s="226"/>
      <c r="K68" s="226"/>
      <c r="L68" s="226"/>
      <c r="M68" s="226"/>
      <c r="N68" s="226"/>
      <c r="P68" s="226"/>
    </row>
    <row r="79" spans="1:16" s="32" customFormat="1">
      <c r="A79" s="58"/>
      <c r="B79" s="1"/>
      <c r="C79" s="1"/>
      <c r="D79" s="1"/>
      <c r="E79" s="1"/>
      <c r="F79" s="1"/>
      <c r="G79" s="58"/>
      <c r="H79" s="199"/>
      <c r="I79" s="199"/>
      <c r="J79" s="199"/>
      <c r="K79" s="199"/>
      <c r="L79" s="199"/>
      <c r="M79" s="199"/>
    </row>
    <row r="80" spans="1:16" s="32" customFormat="1">
      <c r="A80" s="58"/>
      <c r="B80" s="1"/>
      <c r="C80" s="1"/>
      <c r="D80" s="1"/>
      <c r="E80" s="1"/>
      <c r="F80" s="1"/>
      <c r="G80" s="58"/>
      <c r="H80" s="231"/>
      <c r="I80" s="231"/>
      <c r="J80" s="231"/>
      <c r="K80" s="231"/>
      <c r="L80" s="231"/>
      <c r="M80" s="231"/>
    </row>
    <row r="81" spans="1:13" s="32" customFormat="1">
      <c r="A81" s="58"/>
      <c r="B81" s="1"/>
      <c r="C81" s="1"/>
      <c r="D81" s="1"/>
      <c r="E81" s="1"/>
      <c r="F81" s="1"/>
      <c r="G81" s="58"/>
      <c r="H81" s="231"/>
      <c r="I81" s="231"/>
      <c r="J81" s="231"/>
      <c r="K81" s="231"/>
      <c r="L81" s="231"/>
      <c r="M81" s="231"/>
    </row>
  </sheetData>
  <mergeCells count="11">
    <mergeCell ref="R4:Z4"/>
    <mergeCell ref="B5:B6"/>
    <mergeCell ref="A7:G7"/>
    <mergeCell ref="J60:N60"/>
    <mergeCell ref="J63:N63"/>
    <mergeCell ref="A1:F1"/>
    <mergeCell ref="J66:N66"/>
    <mergeCell ref="A2:B2"/>
    <mergeCell ref="A3:B3"/>
    <mergeCell ref="A4:A6"/>
    <mergeCell ref="H4:Q4"/>
  </mergeCells>
  <hyperlinks>
    <hyperlink ref="B32" r:id="rId1" display="NPV@12%" xr:uid="{4C5C96EB-2523-41B7-9E84-C0A4EB0D512B}"/>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B47C3-968A-4394-802F-2FA1A8A27CC6}">
  <sheetPr codeName="Sheet16"/>
  <dimension ref="A1:AA73"/>
  <sheetViews>
    <sheetView showGridLines="0" zoomScale="96" zoomScaleNormal="96" workbookViewId="0">
      <pane ySplit="8" topLeftCell="A26" activePane="bottomLeft" state="frozen"/>
      <selection activeCell="G10" sqref="G10"/>
      <selection pane="bottomLeft" activeCell="C45" sqref="C45"/>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7" ht="12.75" customHeight="1">
      <c r="A1" s="1079" t="str">
        <f>'Opex PVC'!A62</f>
        <v>Capacity for 350 KTPA PVC Resin and 200 KTPA Phenol + 123 KTPA Acetone-Propane Furnace</v>
      </c>
      <c r="B1" s="1080"/>
      <c r="C1" s="1080"/>
      <c r="D1" s="1080"/>
      <c r="E1" s="1080"/>
      <c r="F1" s="1080"/>
      <c r="G1" s="1080"/>
      <c r="H1" s="1080"/>
      <c r="I1" s="620"/>
      <c r="J1" s="620"/>
      <c r="K1" s="620"/>
      <c r="L1" s="620"/>
      <c r="M1" s="620"/>
      <c r="N1" s="620"/>
      <c r="O1" s="620"/>
      <c r="P1" s="620"/>
      <c r="Q1" s="620"/>
      <c r="R1" s="620"/>
      <c r="S1" s="620"/>
      <c r="T1" s="620"/>
      <c r="U1" s="620"/>
      <c r="V1" s="620"/>
      <c r="W1" s="620"/>
      <c r="X1" s="620"/>
      <c r="Y1" s="620"/>
      <c r="Z1" s="620"/>
    </row>
    <row r="2" spans="1:27" s="167" customFormat="1" ht="15" customHeight="1">
      <c r="A2" s="1079" t="s">
        <v>440</v>
      </c>
      <c r="B2" s="108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7" s="167" customFormat="1" ht="15" customHeight="1">
      <c r="A3" s="1088" t="s">
        <v>221</v>
      </c>
      <c r="B3" s="108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7" ht="15" customHeight="1">
      <c r="A4" s="1086" t="s">
        <v>24</v>
      </c>
      <c r="B4" s="1087"/>
      <c r="C4" s="169"/>
      <c r="D4" s="169"/>
      <c r="E4" s="169"/>
      <c r="F4" s="169"/>
      <c r="G4" s="170"/>
      <c r="H4" s="1078" t="s">
        <v>25</v>
      </c>
      <c r="I4" s="1078"/>
      <c r="J4" s="1078"/>
      <c r="K4" s="1078"/>
      <c r="L4" s="1078"/>
      <c r="M4" s="1078"/>
      <c r="N4" s="1078"/>
      <c r="O4" s="1078"/>
      <c r="P4" s="1078"/>
      <c r="Q4" s="1078"/>
      <c r="R4" s="1078" t="s">
        <v>25</v>
      </c>
      <c r="S4" s="1078"/>
      <c r="T4" s="1078"/>
      <c r="U4" s="1078"/>
      <c r="V4" s="1078"/>
      <c r="W4" s="1078"/>
      <c r="X4" s="1078"/>
      <c r="Y4" s="1078"/>
      <c r="Z4" s="1078"/>
    </row>
    <row r="5" spans="1:27">
      <c r="A5" s="239"/>
      <c r="B5" s="1081"/>
      <c r="C5" s="238">
        <v>2023</v>
      </c>
      <c r="D5" s="238">
        <v>2024</v>
      </c>
      <c r="E5" s="238">
        <v>2025</v>
      </c>
      <c r="F5" s="238">
        <v>2026</v>
      </c>
      <c r="G5" s="238" t="s">
        <v>150</v>
      </c>
      <c r="H5" s="238">
        <v>2027</v>
      </c>
      <c r="I5" s="238">
        <v>2028</v>
      </c>
      <c r="J5" s="238">
        <v>2029</v>
      </c>
      <c r="K5" s="238">
        <v>2030</v>
      </c>
      <c r="L5" s="238">
        <v>2031</v>
      </c>
      <c r="M5" s="238">
        <v>2032</v>
      </c>
      <c r="N5" s="238">
        <v>2033</v>
      </c>
      <c r="O5" s="238">
        <v>2034</v>
      </c>
      <c r="P5" s="238">
        <v>2035</v>
      </c>
      <c r="Q5" s="238">
        <v>2036</v>
      </c>
      <c r="R5" s="238">
        <v>2037</v>
      </c>
      <c r="S5" s="238">
        <v>2038</v>
      </c>
      <c r="T5" s="238">
        <v>2039</v>
      </c>
      <c r="U5" s="238">
        <v>2040</v>
      </c>
      <c r="V5" s="238">
        <v>2041</v>
      </c>
      <c r="W5" s="238">
        <v>2042</v>
      </c>
      <c r="X5" s="238">
        <v>2043</v>
      </c>
      <c r="Y5" s="238">
        <v>2044</v>
      </c>
      <c r="Z5" s="238">
        <v>2045</v>
      </c>
    </row>
    <row r="6" spans="1:27">
      <c r="A6" s="240"/>
      <c r="B6" s="108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row>
    <row r="7" spans="1:27" ht="19.5" customHeight="1">
      <c r="A7" s="1084" t="s">
        <v>241</v>
      </c>
      <c r="B7" s="1085"/>
      <c r="C7" s="1085"/>
      <c r="D7" s="1085"/>
      <c r="E7" s="1085"/>
      <c r="F7" s="1085"/>
      <c r="G7" s="1085"/>
      <c r="H7" s="177"/>
      <c r="I7" s="177"/>
      <c r="J7" s="177"/>
      <c r="K7" s="177"/>
      <c r="L7" s="177"/>
      <c r="M7" s="177"/>
      <c r="N7" s="178"/>
      <c r="O7" s="177"/>
      <c r="P7" s="178"/>
      <c r="Q7" s="177"/>
      <c r="R7" s="179"/>
      <c r="S7" s="179"/>
      <c r="T7" s="179"/>
      <c r="U7" s="179"/>
      <c r="V7" s="179"/>
      <c r="W7" s="179"/>
      <c r="X7" s="179"/>
      <c r="Y7" s="179"/>
      <c r="Z7" s="179"/>
    </row>
    <row r="8" spans="1:27" ht="21.75" customHeight="1">
      <c r="A8" s="180">
        <v>1</v>
      </c>
      <c r="B8" s="181" t="s">
        <v>495</v>
      </c>
      <c r="C8" s="182">
        <f>ROUND($G8*C$6,2)</f>
        <v>296.41000000000003</v>
      </c>
      <c r="D8" s="182">
        <f>ROUND($G8*D$6,2)</f>
        <v>1482.03</v>
      </c>
      <c r="E8" s="182">
        <f>ROUND($G8*E$6,2)</f>
        <v>2074.84</v>
      </c>
      <c r="F8" s="182">
        <f>ROUND($G8*F$6,2)</f>
        <v>2074.84</v>
      </c>
      <c r="G8" s="196">
        <f>'Cashflow 350 KTPA'!G8+(-'Cashflow PhenolOption1-Propane'!G8)</f>
        <v>5928.1247678079999</v>
      </c>
      <c r="H8" s="183"/>
      <c r="I8" s="184"/>
      <c r="J8" s="183"/>
      <c r="K8" s="183"/>
      <c r="L8" s="183"/>
      <c r="M8" s="183"/>
      <c r="N8" s="185"/>
      <c r="O8" s="183"/>
      <c r="P8" s="183"/>
      <c r="Q8" s="183"/>
      <c r="R8" s="186"/>
      <c r="S8" s="186"/>
      <c r="T8" s="186"/>
      <c r="U8" s="186"/>
      <c r="V8" s="186"/>
      <c r="W8" s="186"/>
      <c r="X8" s="186"/>
      <c r="Y8" s="186"/>
      <c r="Z8" s="186"/>
    </row>
    <row r="9" spans="1:27" ht="21.75" customHeight="1">
      <c r="A9" s="52"/>
      <c r="B9" s="605" t="s">
        <v>592</v>
      </c>
      <c r="C9" s="606">
        <f t="shared" ref="C9:E9" si="0">$G$9*C6</f>
        <v>138.30000000000001</v>
      </c>
      <c r="D9" s="606">
        <f t="shared" si="0"/>
        <v>691.5</v>
      </c>
      <c r="E9" s="606">
        <f t="shared" si="0"/>
        <v>968.09999999999991</v>
      </c>
      <c r="F9" s="606">
        <f>$G$9*F6</f>
        <v>968.09999999999991</v>
      </c>
      <c r="G9" s="604">
        <f>G10+G11</f>
        <v>2766</v>
      </c>
      <c r="H9" s="199"/>
      <c r="I9" s="262"/>
      <c r="J9" s="199"/>
      <c r="K9" s="199"/>
      <c r="L9" s="199"/>
      <c r="M9" s="199"/>
      <c r="N9" s="607"/>
      <c r="O9" s="199"/>
      <c r="P9" s="199"/>
      <c r="Q9" s="199"/>
    </row>
    <row r="10" spans="1:27" ht="21.75" customHeight="1">
      <c r="A10" s="52"/>
      <c r="B10" s="976" t="s">
        <v>598</v>
      </c>
      <c r="E10"/>
      <c r="G10" s="201">
        <v>2366</v>
      </c>
      <c r="H10" s="199"/>
      <c r="I10" s="262"/>
      <c r="J10" s="199"/>
      <c r="K10" s="199"/>
      <c r="L10" s="199"/>
      <c r="M10" s="199"/>
      <c r="N10" s="607"/>
      <c r="O10" s="199"/>
      <c r="P10" s="199"/>
      <c r="Q10" s="199"/>
    </row>
    <row r="11" spans="1:27" ht="21.75" customHeight="1">
      <c r="A11" s="52"/>
      <c r="B11" s="976" t="s">
        <v>599</v>
      </c>
      <c r="C11" s="606"/>
      <c r="D11" s="606"/>
      <c r="E11" s="606"/>
      <c r="F11" s="606"/>
      <c r="G11" s="201">
        <f>400</f>
        <v>400</v>
      </c>
      <c r="H11" s="199"/>
      <c r="I11" s="262"/>
      <c r="J11" s="199"/>
      <c r="K11" s="199"/>
      <c r="L11" s="199"/>
      <c r="M11" s="199"/>
      <c r="N11" s="607"/>
      <c r="O11" s="199"/>
      <c r="P11" s="199"/>
      <c r="Q11" s="199"/>
    </row>
    <row r="12" spans="1:27" s="167" customFormat="1" ht="25.5" customHeight="1">
      <c r="A12" s="187"/>
      <c r="B12" s="188" t="s">
        <v>240</v>
      </c>
      <c r="C12" s="189">
        <f>SUM(C8:C9)</f>
        <v>434.71000000000004</v>
      </c>
      <c r="D12" s="189">
        <f t="shared" ref="D12:E12" si="1">SUM(D8:D9)</f>
        <v>2173.5299999999997</v>
      </c>
      <c r="E12" s="189">
        <f t="shared" si="1"/>
        <v>3042.94</v>
      </c>
      <c r="F12" s="189">
        <f>SUM(F8:F9)</f>
        <v>3042.94</v>
      </c>
      <c r="G12" s="242">
        <f>-G8-G9</f>
        <v>-8694.1247678079999</v>
      </c>
      <c r="H12" s="191"/>
      <c r="I12" s="191"/>
      <c r="J12" s="191"/>
      <c r="K12" s="191"/>
      <c r="L12" s="191"/>
      <c r="M12" s="191"/>
      <c r="N12" s="192"/>
      <c r="O12" s="192"/>
      <c r="P12" s="192"/>
      <c r="Q12" s="192"/>
      <c r="R12" s="193"/>
      <c r="S12" s="193"/>
      <c r="T12" s="193"/>
      <c r="U12" s="193"/>
      <c r="V12" s="193"/>
      <c r="W12" s="193"/>
      <c r="X12" s="193"/>
      <c r="Y12" s="193"/>
      <c r="Z12" s="193"/>
    </row>
    <row r="13" spans="1:27">
      <c r="A13" s="194">
        <v>2</v>
      </c>
      <c r="B13" s="195" t="s">
        <v>27</v>
      </c>
      <c r="C13" s="195"/>
      <c r="D13" s="195"/>
      <c r="E13" s="195"/>
      <c r="F13" s="195"/>
      <c r="G13" s="196"/>
      <c r="H13" s="197">
        <f>H14+H15+H16+H17</f>
        <v>4462.0699498387594</v>
      </c>
      <c r="I13" s="197">
        <f t="shared" ref="I13:Z13" si="2">I14+I15+I16+I17</f>
        <v>5683.2465087559467</v>
      </c>
      <c r="J13" s="197">
        <f t="shared" si="2"/>
        <v>6387.4183718636559</v>
      </c>
      <c r="K13" s="197">
        <f t="shared" si="2"/>
        <v>6745.1065192482711</v>
      </c>
      <c r="L13" s="197">
        <f t="shared" si="2"/>
        <v>7122.957578077182</v>
      </c>
      <c r="M13" s="197">
        <f t="shared" si="2"/>
        <v>7522.1143273586204</v>
      </c>
      <c r="N13" s="197">
        <f t="shared" si="2"/>
        <v>7943.7846029611173</v>
      </c>
      <c r="O13" s="197">
        <f t="shared" si="2"/>
        <v>8389.2450144748836</v>
      </c>
      <c r="P13" s="197">
        <f t="shared" si="2"/>
        <v>8859.8448750371481</v>
      </c>
      <c r="Q13" s="197">
        <f t="shared" si="2"/>
        <v>9357.0103563516841</v>
      </c>
      <c r="R13" s="197">
        <f t="shared" si="2"/>
        <v>9882.2488818362635</v>
      </c>
      <c r="S13" s="197">
        <f t="shared" si="2"/>
        <v>10437.153771576124</v>
      </c>
      <c r="T13" s="197">
        <f t="shared" si="2"/>
        <v>11023.409153548464</v>
      </c>
      <c r="U13" s="197">
        <f t="shared" si="2"/>
        <v>11642.795156415508</v>
      </c>
      <c r="V13" s="197">
        <f t="shared" si="2"/>
        <v>12297.193400063978</v>
      </c>
      <c r="W13" s="197">
        <f t="shared" si="2"/>
        <v>12988.592801000099</v>
      </c>
      <c r="X13" s="197">
        <f t="shared" si="2"/>
        <v>13719.0957106938</v>
      </c>
      <c r="Y13" s="197">
        <f t="shared" si="2"/>
        <v>14490.924406007705</v>
      </c>
      <c r="Z13" s="197">
        <f t="shared" si="2"/>
        <v>15306.427951947671</v>
      </c>
    </row>
    <row r="14" spans="1:27" s="167" customFormat="1">
      <c r="A14" s="52"/>
      <c r="B14" s="162" t="s">
        <v>87</v>
      </c>
      <c r="C14" s="162"/>
      <c r="D14" s="162"/>
      <c r="E14" s="162"/>
      <c r="F14" s="162"/>
      <c r="G14" s="198">
        <v>1</v>
      </c>
      <c r="H14" s="199">
        <f>IF(H$2&lt;=$C$50,0,Sales!E5*H$3*(1+$C$49)^(H$2-$C$50-1))</f>
        <v>1831.362974583333</v>
      </c>
      <c r="I14" s="199">
        <f>IF(I$2&lt;=$C$50,0,Sales!F5*I$3*(1+$C$49)^(I$2-$C$50-1))</f>
        <v>2490.0937716096746</v>
      </c>
      <c r="J14" s="199">
        <f>IF(J$2&lt;=$C$50,0,Sales!G5*J$3*(1+$C$49)^(J$2-$C$50-1))</f>
        <v>2925.9708524756611</v>
      </c>
      <c r="K14" s="199">
        <f>IF(K$2&lt;=$C$50,0,Sales!H5*K$3*(1+$C$49)^(K$2-$C$50-1))</f>
        <v>3094.3312153271104</v>
      </c>
      <c r="L14" s="199">
        <f>IF(L$2&lt;=$C$50,0,Sales!I5*L$3*(1+$C$49)^(L$2-$C$50-1))</f>
        <v>3272.3790334570317</v>
      </c>
      <c r="M14" s="199">
        <f>IF(M$2&lt;=$C$50,0,Sales!J5*M$3*(1+$C$49)^(M$2-$C$50-1))</f>
        <v>3460.6717230421491</v>
      </c>
      <c r="N14" s="199">
        <f>IF(N$2&lt;=$C$50,0,Sales!K5*N$3*(1+$C$49)^(N$2-$C$50-1))</f>
        <v>3659.7987739859932</v>
      </c>
      <c r="O14" s="199">
        <f>IF(O$2&lt;=$C$50,0,Sales!L5*O$3*(1+$C$49)^(O$2-$C$50-1))</f>
        <v>3870.3835954411475</v>
      </c>
      <c r="P14" s="199">
        <f>IF(P$2&lt;=$C$50,0,Sales!M5*P$3*(1+$C$49)^(P$2-$C$50-1))</f>
        <v>4093.0854675228293</v>
      </c>
      <c r="Q14" s="199">
        <f>IF(Q$2&lt;=$C$50,0,Sales!N5*Q$3*(1+$C$49)^(Q$2-$C$50-1))</f>
        <v>4328.6016053240928</v>
      </c>
      <c r="R14" s="199">
        <f>IF(R$2&lt;=$C$50,0,Sales!O5*R$3*(1+$C$49)^(R$2-$C$50-1))</f>
        <v>4577.6693416944408</v>
      </c>
      <c r="S14" s="199">
        <f>IF(S$2&lt;=$C$50,0,Sales!P5*S$3*(1+$C$49)^(S$2-$C$50-1))</f>
        <v>4841.0684356155389</v>
      </c>
      <c r="T14" s="199">
        <f>IF(T$2&lt;=$C$50,0,Sales!Q5*T$3*(1+$C$49)^(T$2-$C$50-1))</f>
        <v>5119.6235134008557</v>
      </c>
      <c r="U14" s="199">
        <f>IF(U$2&lt;=$C$50,0,Sales!R5*U$3*(1+$C$49)^(U$2-$C$50-1))</f>
        <v>5414.2066503619417</v>
      </c>
      <c r="V14" s="199">
        <f>IF(V$2&lt;=$C$50,0,Sales!S5*V$3*(1+$C$49)^(V$2-$C$50-1))</f>
        <v>5725.7401010237663</v>
      </c>
      <c r="W14" s="199">
        <f>IF(W$2&lt;=$C$50,0,Sales!T5*W$3*(1+$C$49)^(W$2-$C$50-1))</f>
        <v>6055.1991864366746</v>
      </c>
      <c r="X14" s="199">
        <f>IF(X$2&lt;=$C$50,0,Sales!U5*X$3*(1+$C$49)^(X$2-$C$50-1))</f>
        <v>6403.615347624238</v>
      </c>
      <c r="Y14" s="199">
        <f>IF(Y$2&lt;=$C$50,0,Sales!V5*Y$3*(1+$C$49)^(Y$2-$C$50-1))</f>
        <v>6772.0793747265361</v>
      </c>
      <c r="Z14" s="199">
        <f>IF(Z$2&lt;=$C$50,0,Sales!W5*Z$3*(1+$C$49)^(Z$2-$C$50-1))</f>
        <v>7161.7448219482994</v>
      </c>
    </row>
    <row r="15" spans="1:27">
      <c r="A15" s="52"/>
      <c r="B15" s="162" t="s">
        <v>455</v>
      </c>
      <c r="C15" s="162"/>
      <c r="D15" s="162"/>
      <c r="E15" s="162"/>
      <c r="F15" s="162"/>
      <c r="G15" s="201"/>
      <c r="H15" s="202">
        <f>'Cashflow PhenolOption1-Propane'!H11</f>
        <v>1386.6910392857144</v>
      </c>
      <c r="I15" s="202">
        <f>'Cashflow PhenolOption1-Propane'!I11</f>
        <v>1631.0337042469644</v>
      </c>
      <c r="J15" s="202">
        <f>'Cashflow PhenolOption1-Propane'!J11</f>
        <v>1726.5878138102726</v>
      </c>
      <c r="K15" s="202">
        <f>'Cashflow PhenolOption1-Propane'!K11</f>
        <v>1827.7399608823475</v>
      </c>
      <c r="L15" s="202">
        <f>'Cashflow PhenolOption1-Propane'!L11</f>
        <v>1934.8181064906394</v>
      </c>
      <c r="M15" s="202">
        <f>'Cashflow PhenolOption1-Propane'!M11</f>
        <v>2048.1694252593934</v>
      </c>
      <c r="N15" s="202">
        <f>'Cashflow PhenolOption1-Propane'!N11</f>
        <v>2168.1614310382142</v>
      </c>
      <c r="O15" s="202">
        <f>'Cashflow PhenolOption1-Propane'!O11</f>
        <v>2295.1831684755884</v>
      </c>
      <c r="P15" s="202">
        <f>'Cashflow PhenolOption1-Propane'!P11</f>
        <v>2429.6464744007299</v>
      </c>
      <c r="Q15" s="202">
        <f>'Cashflow PhenolOption1-Propane'!Q11</f>
        <v>2571.9873131034965</v>
      </c>
      <c r="R15" s="202">
        <f>'Cashflow PhenolOption1-Propane'!R11</f>
        <v>2722.6671898416648</v>
      </c>
      <c r="S15" s="202">
        <f>'Cashflow PhenolOption1-Propane'!S11</f>
        <v>2882.1746471585388</v>
      </c>
      <c r="T15" s="202">
        <f>'Cashflow PhenolOption1-Propane'!T11</f>
        <v>3051.026848862321</v>
      </c>
      <c r="U15" s="202">
        <f>'Cashflow PhenolOption1-Propane'!U11</f>
        <v>3229.7712568029201</v>
      </c>
      <c r="V15" s="202">
        <f>'Cashflow PhenolOption1-Propane'!V11</f>
        <v>3418.9874058827181</v>
      </c>
      <c r="W15" s="202">
        <f>'Cashflow PhenolOption1-Propane'!W11</f>
        <v>3619.2887830563573</v>
      </c>
      <c r="X15" s="202">
        <f>'Cashflow PhenolOption1-Propane'!X11</f>
        <v>3831.3248164117126</v>
      </c>
      <c r="Y15" s="202">
        <f>'Cashflow PhenolOption1-Propane'!Y11</f>
        <v>4055.7829807811931</v>
      </c>
      <c r="Z15" s="202">
        <f>'Cashflow PhenolOption1-Propane'!Z11</f>
        <v>4293.3910267102583</v>
      </c>
      <c r="AA15" s="202"/>
    </row>
    <row r="16" spans="1:27">
      <c r="A16" s="52"/>
      <c r="B16" s="162" t="s">
        <v>456</v>
      </c>
      <c r="C16" s="162"/>
      <c r="D16" s="162"/>
      <c r="E16" s="162"/>
      <c r="F16" s="162"/>
      <c r="G16" s="201"/>
      <c r="H16" s="202">
        <f>'Cashflow PhenolOption1-Propane'!H12</f>
        <v>648.5918912236607</v>
      </c>
      <c r="I16" s="202">
        <f>'Cashflow PhenolOption1-Propane'!I12</f>
        <v>762.12429849407783</v>
      </c>
      <c r="J16" s="202">
        <f>'Cashflow PhenolOption1-Propane'!J12</f>
        <v>805.97693062942699</v>
      </c>
      <c r="K16" s="202">
        <f>'Cashflow PhenolOption1-Propane'!K12</f>
        <v>852.35284321784422</v>
      </c>
      <c r="L16" s="202">
        <f>'Cashflow PhenolOption1-Propane'!L12</f>
        <v>901.39722581659873</v>
      </c>
      <c r="M16" s="202">
        <f>'Cashflow PhenolOption1-Propane'!M12</f>
        <v>953.26362219008581</v>
      </c>
      <c r="N16" s="202">
        <f>'Cashflow PhenolOption1-Propane'!N12</f>
        <v>1008.1144110109032</v>
      </c>
      <c r="O16" s="202">
        <f>'Cashflow PhenolOption1-Propane'!O12</f>
        <v>1066.1213142204706</v>
      </c>
      <c r="P16" s="202">
        <f>'Cashflow PhenolOption1-Propane'!P12</f>
        <v>1127.4659346407161</v>
      </c>
      <c r="Q16" s="202">
        <f>'Cashflow PhenolOption1-Propane'!Q12</f>
        <v>1192.3403245199427</v>
      </c>
      <c r="R16" s="202">
        <f>'Cashflow PhenolOption1-Propane'!R12</f>
        <v>1260.9475867928199</v>
      </c>
      <c r="S16" s="202">
        <f>'Cashflow PhenolOption1-Propane'!S12</f>
        <v>1333.5025109368789</v>
      </c>
      <c r="T16" s="202">
        <f>'Cashflow PhenolOption1-Propane'!T12</f>
        <v>1410.2322454161865</v>
      </c>
      <c r="U16" s="202">
        <f>'Cashflow PhenolOption1-Propane'!U12</f>
        <v>1491.3770088174342</v>
      </c>
      <c r="V16" s="202">
        <f>'Cashflow PhenolOption1-Propane'!V12</f>
        <v>1577.1908419047888</v>
      </c>
      <c r="W16" s="202">
        <f>'Cashflow PhenolOption1-Propane'!W12</f>
        <v>1667.9424029479906</v>
      </c>
      <c r="X16" s="202">
        <f>'Cashflow PhenolOption1-Propane'!X12</f>
        <v>1763.9158088136171</v>
      </c>
      <c r="Y16" s="202">
        <f>'Cashflow PhenolOption1-Propane'!Y12</f>
        <v>1865.4115244527527</v>
      </c>
      <c r="Z16" s="202">
        <f>'Cashflow PhenolOption1-Propane'!Z12</f>
        <v>1972.7473035697635</v>
      </c>
      <c r="AA16" s="202"/>
    </row>
    <row r="17" spans="1:26">
      <c r="A17" s="603"/>
      <c r="B17" s="17" t="s">
        <v>507</v>
      </c>
      <c r="C17" s="558"/>
      <c r="D17" s="558"/>
      <c r="E17" s="558"/>
      <c r="F17" s="558"/>
      <c r="G17" s="604"/>
      <c r="H17" s="199">
        <f>IF(H$2&lt;=$C$50,0,'Net Change in Margin'!$B$46*H$3*(1+$C$49)^(H$2-$C$50-1))</f>
        <v>595.42404474605109</v>
      </c>
      <c r="I17" s="199">
        <f>IF(I$2&lt;=$C$50,0,'Net Change in Margin'!$B$46*I$3*(1+$C$49)^(I$2-$C$50-1))</f>
        <v>799.99473440523025</v>
      </c>
      <c r="J17" s="199">
        <f>IF(J$2&lt;=$C$50,0,'Net Change in Margin'!$B$46*J$3*(1+$C$49)^(J$2-$C$50-1))</f>
        <v>928.88277494829492</v>
      </c>
      <c r="K17" s="199">
        <f>IF(K$2&lt;=$C$50,0,'Net Change in Margin'!$B$46*K$3*(1+$C$49)^(K$2-$C$50-1))</f>
        <v>970.68249982096813</v>
      </c>
      <c r="L17" s="199">
        <f>IF(L$2&lt;=$C$50,0,'Net Change in Margin'!$B$46*L$3*(1+$C$49)^(L$2-$C$50-1))</f>
        <v>1014.3632123129115</v>
      </c>
      <c r="M17" s="199">
        <f>IF(M$2&lt;=$C$50,0,'Net Change in Margin'!$B$46*M$3*(1+$C$49)^(M$2-$C$50-1))</f>
        <v>1060.0095568669924</v>
      </c>
      <c r="N17" s="199">
        <f>IF(N$2&lt;=$C$50,0,'Net Change in Margin'!$B$46*N$3*(1+$C$49)^(N$2-$C$50-1))</f>
        <v>1107.7099869260069</v>
      </c>
      <c r="O17" s="199">
        <f>IF(O$2&lt;=$C$50,0,'Net Change in Margin'!$B$46*O$3*(1+$C$49)^(O$2-$C$50-1))</f>
        <v>1157.5569363376774</v>
      </c>
      <c r="P17" s="199">
        <f>IF(P$2&lt;=$C$50,0,'Net Change in Margin'!$B$46*P$3*(1+$C$49)^(P$2-$C$50-1))</f>
        <v>1209.6469984728724</v>
      </c>
      <c r="Q17" s="199">
        <f>IF(Q$2&lt;=$C$50,0,'Net Change in Margin'!$B$46*Q$3*(1+$C$49)^(Q$2-$C$50-1))</f>
        <v>1264.0811134041517</v>
      </c>
      <c r="R17" s="199">
        <f>IF(R$2&lt;=$C$50,0,'Net Change in Margin'!$B$46*R$3*(1+$C$49)^(R$2-$C$50-1))</f>
        <v>1320.9647635073381</v>
      </c>
      <c r="S17" s="199">
        <f>IF(S$2&lt;=$C$50,0,'Net Change in Margin'!$B$46*S$3*(1+$C$49)^(S$2-$C$50-1))</f>
        <v>1380.4081778651685</v>
      </c>
      <c r="T17" s="199">
        <f>IF(T$2&lt;=$C$50,0,'Net Change in Margin'!$B$46*T$3*(1+$C$49)^(T$2-$C$50-1))</f>
        <v>1442.5265458691006</v>
      </c>
      <c r="U17" s="199">
        <f>IF(U$2&lt;=$C$50,0,'Net Change in Margin'!$B$46*U$3*(1+$C$49)^(U$2-$C$50-1))</f>
        <v>1507.4402404332102</v>
      </c>
      <c r="V17" s="199">
        <f>IF(V$2&lt;=$C$50,0,'Net Change in Margin'!$B$46*V$3*(1+$C$49)^(V$2-$C$50-1))</f>
        <v>1575.2750512527043</v>
      </c>
      <c r="W17" s="199">
        <f>IF(W$2&lt;=$C$50,0,'Net Change in Margin'!$B$46*W$3*(1+$C$49)^(W$2-$C$50-1))</f>
        <v>1646.1624285590763</v>
      </c>
      <c r="X17" s="199">
        <f>IF(X$2&lt;=$C$50,0,'Net Change in Margin'!$B$46*X$3*(1+$C$49)^(X$2-$C$50-1))</f>
        <v>1720.2397378442338</v>
      </c>
      <c r="Y17" s="199">
        <f>IF(Y$2&lt;=$C$50,0,'Net Change in Margin'!$B$46*Y$3*(1+$C$49)^(Y$2-$C$50-1))</f>
        <v>1797.6505260472245</v>
      </c>
      <c r="Z17" s="199">
        <f>IF(Z$2&lt;=$C$50,0,'Net Change in Margin'!$B$46*Z$3*(1+$C$49)^(Z$2-$C$50-1))</f>
        <v>1878.5447997193492</v>
      </c>
    </row>
    <row r="18" spans="1:26">
      <c r="A18" s="52"/>
      <c r="B18" s="17"/>
      <c r="C18" s="17"/>
      <c r="D18" s="17"/>
      <c r="E18" s="17"/>
      <c r="F18" s="17"/>
      <c r="G18" s="201"/>
      <c r="H18" s="199"/>
      <c r="I18" s="199"/>
      <c r="J18" s="199"/>
      <c r="K18" s="199"/>
      <c r="L18" s="199"/>
      <c r="M18" s="199"/>
      <c r="N18" s="199"/>
      <c r="O18" s="199"/>
      <c r="P18" s="199"/>
      <c r="Q18" s="199"/>
    </row>
    <row r="19" spans="1:26">
      <c r="A19" s="194">
        <v>3</v>
      </c>
      <c r="B19" s="195" t="s">
        <v>107</v>
      </c>
      <c r="C19" s="195"/>
      <c r="D19" s="195"/>
      <c r="E19" s="195"/>
      <c r="F19" s="195"/>
      <c r="G19" s="207"/>
      <c r="H19" s="183"/>
      <c r="I19" s="183"/>
      <c r="J19" s="183"/>
      <c r="K19" s="183"/>
      <c r="L19" s="183"/>
      <c r="M19" s="183"/>
      <c r="N19" s="183"/>
      <c r="O19" s="183"/>
      <c r="P19" s="183"/>
      <c r="Q19" s="183"/>
      <c r="R19" s="186"/>
      <c r="S19" s="186"/>
      <c r="T19" s="186"/>
      <c r="U19" s="186"/>
      <c r="V19" s="186"/>
      <c r="W19" s="186"/>
      <c r="X19" s="186"/>
      <c r="Y19" s="186"/>
      <c r="Z19" s="186"/>
    </row>
    <row r="20" spans="1:26">
      <c r="A20" s="52"/>
      <c r="B20" s="17" t="s">
        <v>12</v>
      </c>
      <c r="C20" s="17"/>
      <c r="D20" s="17"/>
      <c r="E20" s="17"/>
      <c r="F20" s="263"/>
      <c r="G20" s="208">
        <f t="shared" ref="G20:G25" si="3">J20/$J$26</f>
        <v>0.72814134316327628</v>
      </c>
      <c r="H20" s="199">
        <f>IF(H$2&lt;=$C$50,0,'Opex PVC'!E64*H$3*(1+$C$49)^(H$2-$C$50-1))+'Cashflow PhenolOption1-Propane'!H14</f>
        <v>1748.6078524609516</v>
      </c>
      <c r="I20" s="199">
        <f>IF(I$2&lt;=$C$50,0,'Opex PVC'!F64*I$3*(1+$C$49)^(I$2-$C$50-1))+'Cashflow PhenolOption1-Propane'!I14</f>
        <v>2155.6917227446902</v>
      </c>
      <c r="J20" s="199">
        <f>IF(J$2&lt;=$C$50,0,'Opex PVC'!G64*J$3*(1+$C$49)^(J$2-$C$50-1))+'Cashflow PhenolOption1-Propane'!J14</f>
        <v>2368.8825241386103</v>
      </c>
      <c r="K20" s="199">
        <f>IF(K$2&lt;=$C$50,0,'Opex PVC'!H64*K$3*(1+$C$49)^(K$2-$C$50-1))+'Cashflow PhenolOption1-Propane'!K14</f>
        <v>2507.6298695010551</v>
      </c>
      <c r="L20" s="199">
        <f>IF(L$2&lt;=$C$50,0,'Opex PVC'!I64*L$3*(1+$C$49)^(L$2-$C$50-1))+'Cashflow PhenolOption1-Propane'!L14</f>
        <v>2652.0147899086583</v>
      </c>
      <c r="M20" s="199">
        <f>IF(M$2&lt;=$C$50,0,'Opex PVC'!J64*M$3*(1+$C$49)^(M$2-$C$50-1))+'Cashflow PhenolOption1-Propane'!M14</f>
        <v>2806.0316806140627</v>
      </c>
      <c r="N20" s="199">
        <f>IF(N$2&lt;=$C$50,0,'Opex PVC'!K64*N$3*(1+$C$49)^(N$2-$C$50-1))+'Cashflow PhenolOption1-Propane'!N14</f>
        <v>2968.6722547547934</v>
      </c>
      <c r="O20" s="199">
        <f>IF(O$2&lt;=$C$50,0,'Opex PVC'!L64*O$3*(1+$C$49)^(O$2-$C$50-1))+'Cashflow PhenolOption1-Propane'!O14</f>
        <v>3141.1953656688565</v>
      </c>
      <c r="P20" s="199">
        <f>IF(P$2&lt;=$C$50,0,'Opex PVC'!M64*P$3*(1+$C$49)^(P$2-$C$50-1))+'Cashflow PhenolOption1-Propane'!P14</f>
        <v>3325.5528061942059</v>
      </c>
      <c r="Q20" s="199">
        <f>IF(Q$2&lt;=$C$50,0,'Opex PVC'!N64*Q$3*(1+$C$49)^(Q$2-$C$50-1))+'Cashflow PhenolOption1-Propane'!Q14</f>
        <v>3514.8612311688603</v>
      </c>
      <c r="R20" s="199">
        <f>IF(R$2&lt;=$C$50,0,'Opex PVC'!O64*R$3*(1+$C$49)^(R$2-$C$50-1))+'Cashflow PhenolOption1-Propane'!R14</f>
        <v>3716.0273108219212</v>
      </c>
      <c r="S20" s="199">
        <f>IF(S$2&lt;=$C$50,0,'Opex PVC'!P64*S$3*(1+$C$49)^(S$2-$C$50-1))+'Cashflow PhenolOption1-Propane'!S14</f>
        <v>3929.1348840226146</v>
      </c>
      <c r="T20" s="199">
        <f>IF(T$2&lt;=$C$50,0,'Opex PVC'!Q64*T$3*(1+$C$49)^(T$2-$C$50-1))+'Cashflow PhenolOption1-Propane'!T14</f>
        <v>4152.9574919006245</v>
      </c>
      <c r="U20" s="199">
        <f>IF(U$2&lt;=$C$50,0,'Opex PVC'!R64*U$3*(1+$C$49)^(U$2-$C$50-1))+'Cashflow PhenolOption1-Propane'!U14</f>
        <v>4389.2141917997706</v>
      </c>
      <c r="V20" s="199">
        <f>IF(V$2&lt;=$C$50,0,'Opex PVC'!S64*V$3*(1+$C$49)^(V$2-$C$50-1))+'Cashflow PhenolOption1-Propane'!V14</f>
        <v>4638.7463333160231</v>
      </c>
      <c r="W20" s="199">
        <f>IF(W$2&lt;=$C$50,0,'Opex PVC'!T64*W$3*(1+$C$49)^(W$2-$C$50-1))+'Cashflow PhenolOption1-Propane'!W14</f>
        <v>4904.7732657332253</v>
      </c>
      <c r="X20" s="199">
        <f>IF(X$2&lt;=$C$50,0,'Opex PVC'!U64*X$3*(1+$C$49)^(X$2-$C$50-1))+'Cashflow PhenolOption1-Propane'!X14</f>
        <v>5186.6190876765486</v>
      </c>
      <c r="Y20" s="199">
        <f>IF(Y$2&lt;=$C$50,0,'Opex PVC'!V64*Y$3*(1+$C$49)^(Y$2-$C$50-1))+'Cashflow PhenolOption1-Propane'!Y14</f>
        <v>5486.047953098946</v>
      </c>
      <c r="Z20" s="199">
        <f>IF(Z$2&lt;=$C$50,0,'Opex PVC'!W64*Z$3*(1+$C$49)^(Z$2-$C$50-1))+'Cashflow PhenolOption1-Propane'!Z14</f>
        <v>5800.6668206967606</v>
      </c>
    </row>
    <row r="21" spans="1:26">
      <c r="A21" s="52"/>
      <c r="B21" s="17" t="s">
        <v>14</v>
      </c>
      <c r="C21" s="17"/>
      <c r="D21" s="17"/>
      <c r="E21" s="17"/>
      <c r="F21" s="894"/>
      <c r="G21" s="208">
        <f t="shared" si="3"/>
        <v>4.5953566390873057E-2</v>
      </c>
      <c r="H21" s="199">
        <f>IF(H$2&lt;=$C$50,0,'Opex PVC'!E68*H$3*(1+$C$49)^(H$2-$C$50-1))</f>
        <v>92.910999999999987</v>
      </c>
      <c r="I21" s="199">
        <f>IF(I$2&lt;=$C$50,0,'Opex PVC'!F68*I$3*(1+$C$49)^(I$2-$C$50-1))</f>
        <v>126.76746975749997</v>
      </c>
      <c r="J21" s="199">
        <f>IF(J$2&lt;=$C$50,0,'Opex PVC'!G68*J$3*(1+$C$49)^(J$2-$C$50-1))</f>
        <v>149.50201821018209</v>
      </c>
      <c r="K21" s="199">
        <f>IF(K$2&lt;=$C$50,0,'Opex PVC'!H68*K$3*(1+$C$49)^(K$2-$C$50-1))</f>
        <v>158.46369243876413</v>
      </c>
      <c r="L21" s="199">
        <f>IF(L$2&lt;=$C$50,0,'Opex PVC'!I68*L$3*(1+$C$49)^(L$2-$C$50-1))</f>
        <v>167.91288241888759</v>
      </c>
      <c r="M21" s="199">
        <f>IF(M$2&lt;=$C$50,0,'Opex PVC'!J68*M$3*(1+$C$49)^(M$2-$C$50-1))</f>
        <v>177.8202462202492</v>
      </c>
      <c r="N21" s="199">
        <f>IF(N$2&lt;=$C$50,0,'Opex PVC'!K68*N$3*(1+$C$49)^(N$2-$C$50-1))</f>
        <v>188.31217420798251</v>
      </c>
      <c r="O21" s="199">
        <f>IF(O$2&lt;=$C$50,0,'Opex PVC'!L68*O$3*(1+$C$49)^(O$2-$C$50-1))</f>
        <v>199.42315742277611</v>
      </c>
      <c r="P21" s="199">
        <f>IF(P$2&lt;=$C$50,0,'Opex PVC'!M68*P$3*(1+$C$49)^(P$2-$C$50-1))</f>
        <v>211.18972198019213</v>
      </c>
      <c r="Q21" s="199">
        <f>IF(Q$2&lt;=$C$50,0,'Opex PVC'!N68*Q$3*(1+$C$49)^(Q$2-$C$50-1))</f>
        <v>223.65054914618941</v>
      </c>
      <c r="R21" s="199">
        <f>IF(R$2&lt;=$C$50,0,'Opex PVC'!O68*R$3*(1+$C$49)^(R$2-$C$50-1))</f>
        <v>236.84660249746196</v>
      </c>
      <c r="S21" s="199">
        <f>IF(S$2&lt;=$C$50,0,'Opex PVC'!P68*S$3*(1+$C$49)^(S$2-$C$50-1))</f>
        <v>250.82126258461975</v>
      </c>
      <c r="T21" s="199">
        <f>IF(T$2&lt;=$C$50,0,'Opex PVC'!Q68*T$3*(1+$C$49)^(T$2-$C$50-1))</f>
        <v>265.62046954089999</v>
      </c>
      <c r="U21" s="199">
        <f>IF(U$2&lt;=$C$50,0,'Opex PVC'!R68*U$3*(1+$C$49)^(U$2-$C$50-1))</f>
        <v>281.29287410522176</v>
      </c>
      <c r="V21" s="199">
        <f>IF(V$2&lt;=$C$50,0,'Opex PVC'!S68*V$3*(1+$C$49)^(V$2-$C$50-1))</f>
        <v>297.88999755605204</v>
      </c>
      <c r="W21" s="199">
        <f>IF(W$2&lt;=$C$50,0,'Opex PVC'!T68*W$3*(1+$C$49)^(W$2-$C$50-1))</f>
        <v>315.46640108185181</v>
      </c>
      <c r="X21" s="199">
        <f>IF(X$2&lt;=$C$50,0,'Opex PVC'!U68*X$3*(1+$C$49)^(X$2-$C$50-1))</f>
        <v>334.07986514488414</v>
      </c>
      <c r="Y21" s="199">
        <f>IF(Y$2&lt;=$C$50,0,'Opex PVC'!V68*Y$3*(1+$C$49)^(Y$2-$C$50-1))</f>
        <v>353.79157942802772</v>
      </c>
      <c r="Z21" s="199">
        <f>IF(Z$2&lt;=$C$50,0,'Opex PVC'!W68*Z$3*(1+$C$49)^(Z$2-$C$50-1))</f>
        <v>374.66634398901959</v>
      </c>
    </row>
    <row r="22" spans="1:26">
      <c r="A22" s="52"/>
      <c r="B22" s="17" t="s">
        <v>15</v>
      </c>
      <c r="C22" s="17"/>
      <c r="D22" s="17"/>
      <c r="E22" s="17"/>
      <c r="F22" s="894"/>
      <c r="G22" s="208">
        <f t="shared" si="3"/>
        <v>1.8065435723106826E-2</v>
      </c>
      <c r="H22" s="199">
        <f>IF(H$2&lt;=$C$50,0,'Opex PVC'!$E$69*(1+$C$49)^(H$2-$C$50-1))+'Cashflow PhenolOption1-Propane'!H15</f>
        <v>53.82</v>
      </c>
      <c r="I22" s="199">
        <f>IF(I$2&lt;=$C$50,0,'Opex PVC'!$E$69*(1+$C$49)^(I$2-$C$50-1))+'Cashflow PhenolOption1-Propane'!I15</f>
        <v>56.241899999999994</v>
      </c>
      <c r="J22" s="199">
        <f>IF(J$2&lt;=$C$50,0,'Opex PVC'!$E$69*(1+$C$49)^(J$2-$C$50-1))+'Cashflow PhenolOption1-Propane'!J15</f>
        <v>58.772785499999991</v>
      </c>
      <c r="K22" s="199">
        <f>IF(K$2&lt;=$C$50,0,'Opex PVC'!$E$69*(1+$C$49)^(K$2-$C$50-1))+'Cashflow PhenolOption1-Propane'!K15</f>
        <v>61.417560847499992</v>
      </c>
      <c r="L22" s="199">
        <f>IF(L$2&lt;=$C$50,0,'Opex PVC'!$E$69*(1+$C$49)^(L$2-$C$50-1))+'Cashflow PhenolOption1-Propane'!L15</f>
        <v>64.181351085637473</v>
      </c>
      <c r="M22" s="199">
        <f>IF(M$2&lt;=$C$50,0,'Opex PVC'!$E$69*(1+$C$49)^(M$2-$C$50-1))+'Cashflow PhenolOption1-Propane'!M15</f>
        <v>67.069511884491163</v>
      </c>
      <c r="N22" s="199">
        <f>IF(N$2&lt;=$C$50,0,'Opex PVC'!$E$69*(1+$C$49)^(N$2-$C$50-1))+'Cashflow PhenolOption1-Propane'!N15</f>
        <v>70.087639919293238</v>
      </c>
      <c r="O22" s="199">
        <f>IF(O$2&lt;=$C$50,0,'Opex PVC'!$E$69*(1+$C$49)^(O$2-$C$50-1))+'Cashflow PhenolOption1-Propane'!O15</f>
        <v>73.241583715661449</v>
      </c>
      <c r="P22" s="199">
        <f>IF(P$2&lt;=$C$50,0,'Opex PVC'!$E$69*(1+$C$49)^(P$2-$C$50-1))+'Cashflow PhenolOption1-Propane'!P15</f>
        <v>76.53745498286618</v>
      </c>
      <c r="Q22" s="199">
        <f>IF(Q$2&lt;=$C$50,0,'Opex PVC'!$E$69*(1+$C$49)^(Q$2-$C$50-1))+'Cashflow PhenolOption1-Propane'!Q15</f>
        <v>79.981640457095153</v>
      </c>
      <c r="R22" s="199">
        <f>IF(R$2&lt;=$C$50,0,'Opex PVC'!$E$69*(1+$C$49)^(R$2-$C$50-1))+'Cashflow PhenolOption1-Propane'!R15</f>
        <v>83.58081427766443</v>
      </c>
      <c r="S22" s="199">
        <f>IF(S$2&lt;=$C$50,0,'Opex PVC'!$E$69*(1+$C$49)^(S$2-$C$50-1))+'Cashflow PhenolOption1-Propane'!S15</f>
        <v>87.34195092015932</v>
      </c>
      <c r="T22" s="199">
        <f>IF(T$2&lt;=$C$50,0,'Opex PVC'!$E$69*(1+$C$49)^(T$2-$C$50-1))+'Cashflow PhenolOption1-Propane'!T15</f>
        <v>91.272338711566476</v>
      </c>
      <c r="U22" s="199">
        <f>IF(U$2&lt;=$C$50,0,'Opex PVC'!$E$69*(1+$C$49)^(U$2-$C$50-1))+'Cashflow PhenolOption1-Propane'!U15</f>
        <v>95.379593953586976</v>
      </c>
      <c r="V22" s="199">
        <f>IF(V$2&lt;=$C$50,0,'Opex PVC'!$E$69*(1+$C$49)^(V$2-$C$50-1))+'Cashflow PhenolOption1-Propane'!V15</f>
        <v>99.671675681498357</v>
      </c>
      <c r="W22" s="199">
        <f>IF(W$2&lt;=$C$50,0,'Opex PVC'!$E$69*(1+$C$49)^(W$2-$C$50-1))+'Cashflow PhenolOption1-Propane'!W15</f>
        <v>104.15690108716579</v>
      </c>
      <c r="X22" s="199">
        <f>IF(X$2&lt;=$C$50,0,'Opex PVC'!$E$69*(1+$C$49)^(X$2-$C$50-1))+'Cashflow PhenolOption1-Propane'!X15</f>
        <v>108.84396163608821</v>
      </c>
      <c r="Y22" s="199">
        <f>IF(Y$2&lt;=$C$50,0,'Opex PVC'!$E$69*(1+$C$49)^(Y$2-$C$50-1))+'Cashflow PhenolOption1-Propane'!Y15</f>
        <v>113.74193990971219</v>
      </c>
      <c r="Z22" s="199">
        <f>IF(Z$2&lt;=$C$50,0,'Opex PVC'!$E$69*(1+$C$49)^(Z$2-$C$50-1))+'Cashflow PhenolOption1-Propane'!Z15</f>
        <v>118.86032720564921</v>
      </c>
    </row>
    <row r="23" spans="1:26">
      <c r="A23" s="52"/>
      <c r="B23" s="17" t="s">
        <v>17</v>
      </c>
      <c r="C23" s="17"/>
      <c r="D23" s="17"/>
      <c r="E23" s="17"/>
      <c r="F23" s="17"/>
      <c r="G23" s="208">
        <f t="shared" si="3"/>
        <v>0.11958866322264293</v>
      </c>
      <c r="H23" s="199">
        <f>IF(H$2&lt;=$C$50,0,'Opex PVC'!$E$71*(1+$C$49)^(H$2-$C$50-1))+'Cashflow PhenolOption1-Propane'!H16</f>
        <v>336.36743734740003</v>
      </c>
      <c r="I23" s="199">
        <f>IF(I$2&lt;=$C$50,0,'Opex PVC'!$E$71*(1+$C$49)^(I$2-$C$50-1))+'Cashflow PhenolOption1-Propane'!I16</f>
        <v>372.30730225336998</v>
      </c>
      <c r="J23" s="199">
        <f>IF(J$2&lt;=$C$50,0,'Opex PVC'!$E$71*(1+$C$49)^(J$2-$C$50-1))+'Cashflow PhenolOption1-Propane'!J16</f>
        <v>389.06113085477159</v>
      </c>
      <c r="K23" s="199">
        <f>IF(K$2&lt;=$C$50,0,'Opex PVC'!$E$71*(1+$C$49)^(K$2-$C$50-1))+'Cashflow PhenolOption1-Propane'!K16</f>
        <v>406.56888174323637</v>
      </c>
      <c r="L23" s="199">
        <f>IF(L$2&lt;=$C$50,0,'Opex PVC'!$E$71*(1+$C$49)^(L$2-$C$50-1))+'Cashflow PhenolOption1-Propane'!L16</f>
        <v>424.86448142168183</v>
      </c>
      <c r="M23" s="199">
        <f>IF(M$2&lt;=$C$50,0,'Opex PVC'!$E$71*(1+$C$49)^(M$2-$C$50-1))+'Cashflow PhenolOption1-Propane'!M16</f>
        <v>443.98338308565752</v>
      </c>
      <c r="N23" s="199">
        <f>IF(N$2&lt;=$C$50,0,'Opex PVC'!$E$71*(1+$C$49)^(N$2-$C$50-1))+'Cashflow PhenolOption1-Propane'!N16</f>
        <v>463.96263532451201</v>
      </c>
      <c r="O23" s="199">
        <f>IF(O$2&lt;=$C$50,0,'Opex PVC'!$E$71*(1+$C$49)^(O$2-$C$50-1))+'Cashflow PhenolOption1-Propane'!O16</f>
        <v>484.84095391411512</v>
      </c>
      <c r="P23" s="199">
        <f>IF(P$2&lt;=$C$50,0,'Opex PVC'!$E$71*(1+$C$49)^(P$2-$C$50-1))+'Cashflow PhenolOption1-Propane'!P16</f>
        <v>506.65879684025015</v>
      </c>
      <c r="Q23" s="199">
        <f>IF(Q$2&lt;=$C$50,0,'Opex PVC'!$E$71*(1+$C$49)^(Q$2-$C$50-1))+'Cashflow PhenolOption1-Propane'!Q16</f>
        <v>529.45844269806139</v>
      </c>
      <c r="R23" s="199">
        <f>IF(R$2&lt;=$C$50,0,'Opex PVC'!$E$71*(1+$C$49)^(R$2-$C$50-1))+'Cashflow PhenolOption1-Propane'!R16</f>
        <v>553.28407261947405</v>
      </c>
      <c r="S23" s="199">
        <f>IF(S$2&lt;=$C$50,0,'Opex PVC'!$E$71*(1+$C$49)^(S$2-$C$50-1))+'Cashflow PhenolOption1-Propane'!S16</f>
        <v>578.18185588735037</v>
      </c>
      <c r="T23" s="199">
        <f>IF(T$2&lt;=$C$50,0,'Opex PVC'!$E$71*(1+$C$49)^(T$2-$C$50-1))+'Cashflow PhenolOption1-Propane'!T16</f>
        <v>604.20003940228094</v>
      </c>
      <c r="U23" s="199">
        <f>IF(U$2&lt;=$C$50,0,'Opex PVC'!$E$71*(1+$C$49)^(U$2-$C$50-1))+'Cashflow PhenolOption1-Propane'!U16</f>
        <v>631.38904117538368</v>
      </c>
      <c r="V23" s="199">
        <f>IF(V$2&lt;=$C$50,0,'Opex PVC'!$E$71*(1+$C$49)^(V$2-$C$50-1))+'Cashflow PhenolOption1-Propane'!V16</f>
        <v>659.80154802827565</v>
      </c>
      <c r="W23" s="199">
        <f>IF(W$2&lt;=$C$50,0,'Opex PVC'!$E$71*(1+$C$49)^(W$2-$C$50-1))+'Cashflow PhenolOption1-Propane'!W16</f>
        <v>689.4926176895483</v>
      </c>
      <c r="X23" s="199">
        <f>IF(X$2&lt;=$C$50,0,'Opex PVC'!$E$71*(1+$C$49)^(X$2-$C$50-1))+'Cashflow PhenolOption1-Propane'!X16</f>
        <v>720.51978548557759</v>
      </c>
      <c r="Y23" s="199">
        <f>IF(Y$2&lt;=$C$50,0,'Opex PVC'!$E$71*(1+$C$49)^(Y$2-$C$50-1))+'Cashflow PhenolOption1-Propane'!Y16</f>
        <v>752.94317583242855</v>
      </c>
      <c r="Z23" s="199">
        <f>IF(Z$2&lt;=$C$50,0,'Opex PVC'!$E$71*(1+$C$49)^(Z$2-$C$50-1))+'Cashflow PhenolOption1-Propane'!Z16</f>
        <v>786.82561874488772</v>
      </c>
    </row>
    <row r="24" spans="1:26" s="167" customFormat="1">
      <c r="A24" s="52"/>
      <c r="B24" s="17" t="s">
        <v>20</v>
      </c>
      <c r="C24" s="17"/>
      <c r="D24" s="17"/>
      <c r="E24" s="17"/>
      <c r="F24" s="17"/>
      <c r="G24" s="208">
        <f t="shared" si="3"/>
        <v>3.3441367746888384E-2</v>
      </c>
      <c r="H24" s="199">
        <f>IF(H$2&lt;=$C$50,0,'Opex PVC'!$E$74*(1+$C$49)^(H$2-$C$50-1))+'Cashflow PhenolOption1-Propane'!H17</f>
        <v>96.573698443403998</v>
      </c>
      <c r="I24" s="199">
        <f>IF(I$2&lt;=$C$50,0,'Opex PVC'!$E$74*(1+$C$49)^(I$2-$C$50-1))+'Cashflow PhenolOption1-Propane'!I17</f>
        <v>104.11074991554466</v>
      </c>
      <c r="J24" s="199">
        <f>IF(J$2&lt;=$C$50,0,'Opex PVC'!$E$74*(1+$C$49)^(J$2-$C$50-1))+'Cashflow PhenolOption1-Propane'!J17</f>
        <v>108.79573366174417</v>
      </c>
      <c r="K24" s="199">
        <f>IF(K$2&lt;=$C$50,0,'Opex PVC'!$E$74*(1+$C$49)^(K$2-$C$50-1))+'Cashflow PhenolOption1-Propane'!K17</f>
        <v>113.69154167652266</v>
      </c>
      <c r="L24" s="199">
        <f>IF(L$2&lt;=$C$50,0,'Opex PVC'!$E$74*(1+$C$49)^(L$2-$C$50-1))+'Cashflow PhenolOption1-Propane'!L17</f>
        <v>118.80766105196614</v>
      </c>
      <c r="M24" s="199">
        <f>IF(M$2&lt;=$C$50,0,'Opex PVC'!$E$74*(1+$C$49)^(M$2-$C$50-1))+'Cashflow PhenolOption1-Propane'!M17</f>
        <v>124.15400579930463</v>
      </c>
      <c r="N24" s="199">
        <f>IF(N$2&lt;=$C$50,0,'Opex PVC'!$E$74*(1+$C$49)^(N$2-$C$50-1))+'Cashflow PhenolOption1-Propane'!N17</f>
        <v>129.7409360602733</v>
      </c>
      <c r="O24" s="199">
        <f>IF(O$2&lt;=$C$50,0,'Opex PVC'!$E$74*(1+$C$49)^(O$2-$C$50-1))+'Cashflow PhenolOption1-Propane'!O17</f>
        <v>135.5792781829856</v>
      </c>
      <c r="P24" s="199">
        <f>IF(P$2&lt;=$C$50,0,'Opex PVC'!$E$74*(1+$C$49)^(P$2-$C$50-1))+'Cashflow PhenolOption1-Propane'!P17</f>
        <v>141.68034570121992</v>
      </c>
      <c r="Q24" s="199">
        <f>IF(Q$2&lt;=$C$50,0,'Opex PVC'!$E$74*(1+$C$49)^(Q$2-$C$50-1))+'Cashflow PhenolOption1-Propane'!Q17</f>
        <v>148.05596125777478</v>
      </c>
      <c r="R24" s="199">
        <f>IF(R$2&lt;=$C$50,0,'Opex PVC'!$E$74*(1+$C$49)^(R$2-$C$50-1))+'Cashflow PhenolOption1-Propane'!R17</f>
        <v>154.71847951437462</v>
      </c>
      <c r="S24" s="199">
        <f>IF(S$2&lt;=$C$50,0,'Opex PVC'!$E$74*(1+$C$49)^(S$2-$C$50-1))+'Cashflow PhenolOption1-Propane'!S17</f>
        <v>161.68081109252148</v>
      </c>
      <c r="T24" s="199">
        <f>IF(T$2&lt;=$C$50,0,'Opex PVC'!$E$74*(1+$C$49)^(T$2-$C$50-1))+'Cashflow PhenolOption1-Propane'!T17</f>
        <v>168.95644759168493</v>
      </c>
      <c r="U24" s="199">
        <f>IF(U$2&lt;=$C$50,0,'Opex PVC'!$E$74*(1+$C$49)^(U$2-$C$50-1))+'Cashflow PhenolOption1-Propane'!U17</f>
        <v>176.55948773331076</v>
      </c>
      <c r="V24" s="199">
        <f>IF(V$2&lt;=$C$50,0,'Opex PVC'!$E$74*(1+$C$49)^(V$2-$C$50-1))+'Cashflow PhenolOption1-Propane'!V17</f>
        <v>184.50466468130969</v>
      </c>
      <c r="W24" s="199">
        <f>IF(W$2&lt;=$C$50,0,'Opex PVC'!$E$74*(1+$C$49)^(W$2-$C$50-1))+'Cashflow PhenolOption1-Propane'!W17</f>
        <v>192.80737459196865</v>
      </c>
      <c r="X24" s="199">
        <f>IF(X$2&lt;=$C$50,0,'Opex PVC'!$E$74*(1+$C$49)^(X$2-$C$50-1))+'Cashflow PhenolOption1-Propane'!X17</f>
        <v>201.48370644860717</v>
      </c>
      <c r="Y24" s="199">
        <f>IF(Y$2&lt;=$C$50,0,'Opex PVC'!$E$74*(1+$C$49)^(Y$2-$C$50-1))+'Cashflow PhenolOption1-Propane'!Y17</f>
        <v>210.5504732387945</v>
      </c>
      <c r="Z24" s="199">
        <f>IF(Z$2&lt;=$C$50,0,'Opex PVC'!$E$74*(1+$C$49)^(Z$2-$C$50-1))+'Cashflow PhenolOption1-Propane'!Z17</f>
        <v>220.02524453454021</v>
      </c>
    </row>
    <row r="25" spans="1:26">
      <c r="A25" s="52"/>
      <c r="B25" s="17" t="s">
        <v>21</v>
      </c>
      <c r="C25" s="17"/>
      <c r="D25" s="17"/>
      <c r="E25" s="17"/>
      <c r="F25" s="17"/>
      <c r="G25" s="208">
        <f t="shared" si="3"/>
        <v>5.4809623753212661E-2</v>
      </c>
      <c r="H25" s="199">
        <f>IF(H$2&lt;=$C$50,0,'Opex PVC'!$E$77*(1+$C$49)^(H$2-$C$50-1))+'Cashflow PhenolOption1-Propane'!H18</f>
        <v>155.23239257971522</v>
      </c>
      <c r="I25" s="199">
        <f>IF(I$2&lt;=$C$50,0,'Opex PVC'!$E$77*(1+$C$49)^(I$2-$C$50-1))+'Cashflow PhenolOption1-Propane'!I18</f>
        <v>170.63509706676908</v>
      </c>
      <c r="J25" s="199">
        <f>IF(J$2&lt;=$C$50,0,'Opex PVC'!$E$77*(1+$C$49)^(J$2-$C$50-1))+'Cashflow PhenolOption1-Propane'!J18</f>
        <v>178.31367643477367</v>
      </c>
      <c r="K25" s="199">
        <f>IF(K$2&lt;=$C$50,0,'Opex PVC'!$E$77*(1+$C$49)^(K$2-$C$50-1))+'Cashflow PhenolOption1-Propane'!K18</f>
        <v>186.33779187433851</v>
      </c>
      <c r="L25" s="199">
        <f>IF(L$2&lt;=$C$50,0,'Opex PVC'!$E$77*(1+$C$49)^(L$2-$C$50-1))+'Cashflow PhenolOption1-Propane'!L18</f>
        <v>194.72299250868366</v>
      </c>
      <c r="M25" s="199">
        <f>IF(M$2&lt;=$C$50,0,'Opex PVC'!$E$77*(1+$C$49)^(M$2-$C$50-1))+'Cashflow PhenolOption1-Propane'!M18</f>
        <v>203.48552717157443</v>
      </c>
      <c r="N25" s="199">
        <f>IF(N$2&lt;=$C$50,0,'Opex PVC'!$E$77*(1+$C$49)^(N$2-$C$50-1))+'Cashflow PhenolOption1-Propane'!N18</f>
        <v>212.64237589429524</v>
      </c>
      <c r="O25" s="199">
        <f>IF(O$2&lt;=$C$50,0,'Opex PVC'!$E$77*(1+$C$49)^(O$2-$C$50-1))+'Cashflow PhenolOption1-Propane'!O18</f>
        <v>222.21128280953855</v>
      </c>
      <c r="P25" s="199">
        <f>IF(P$2&lt;=$C$50,0,'Opex PVC'!$E$77*(1+$C$49)^(P$2-$C$50-1))+'Cashflow PhenolOption1-Propane'!P18</f>
        <v>232.2107905359677</v>
      </c>
      <c r="Q25" s="199">
        <f>IF(Q$2&lt;=$C$50,0,'Opex PVC'!$E$77*(1+$C$49)^(Q$2-$C$50-1))+'Cashflow PhenolOption1-Propane'!Q18</f>
        <v>242.66027611008622</v>
      </c>
      <c r="R25" s="199">
        <f>IF(R$2&lt;=$C$50,0,'Opex PVC'!$E$77*(1+$C$49)^(R$2-$C$50-1))+'Cashflow PhenolOption1-Propane'!R18</f>
        <v>253.57998853504006</v>
      </c>
      <c r="S25" s="199">
        <f>IF(S$2&lt;=$C$50,0,'Opex PVC'!$E$77*(1+$C$49)^(S$2-$C$50-1))+'Cashflow PhenolOption1-Propane'!S18</f>
        <v>264.99108801911689</v>
      </c>
      <c r="T25" s="199">
        <f>IF(T$2&lt;=$C$50,0,'Opex PVC'!$E$77*(1+$C$49)^(T$2-$C$50-1))+'Cashflow PhenolOption1-Propane'!T18</f>
        <v>276.91568697997707</v>
      </c>
      <c r="U25" s="199">
        <f>IF(U$2&lt;=$C$50,0,'Opex PVC'!$E$77*(1+$C$49)^(U$2-$C$50-1))+'Cashflow PhenolOption1-Propane'!U18</f>
        <v>289.37689289407604</v>
      </c>
      <c r="V25" s="199">
        <f>IF(V$2&lt;=$C$50,0,'Opex PVC'!$E$77*(1+$C$49)^(V$2-$C$50-1))+'Cashflow PhenolOption1-Propane'!V18</f>
        <v>302.39885307430939</v>
      </c>
      <c r="W25" s="199">
        <f>IF(W$2&lt;=$C$50,0,'Opex PVC'!$E$77*(1+$C$49)^(W$2-$C$50-1))+'Cashflow PhenolOption1-Propane'!W18</f>
        <v>316.00680146265336</v>
      </c>
      <c r="X25" s="199">
        <f>IF(X$2&lt;=$C$50,0,'Opex PVC'!$E$77*(1+$C$49)^(X$2-$C$50-1))+'Cashflow PhenolOption1-Propane'!X18</f>
        <v>330.22710752847263</v>
      </c>
      <c r="Y25" s="199">
        <f>IF(Y$2&lt;=$C$50,0,'Opex PVC'!$E$77*(1+$C$49)^(Y$2-$C$50-1))+'Cashflow PhenolOption1-Propane'!Y18</f>
        <v>345.08732736725392</v>
      </c>
      <c r="Z25" s="199">
        <f>IF(Z$2&lt;=$C$50,0,'Opex PVC'!$E$77*(1+$C$49)^(Z$2-$C$50-1))+'Cashflow PhenolOption1-Propane'!Z18</f>
        <v>360.61625709878024</v>
      </c>
    </row>
    <row r="26" spans="1:26" s="167" customFormat="1">
      <c r="A26" s="187"/>
      <c r="B26" s="209" t="s">
        <v>30</v>
      </c>
      <c r="C26" s="209"/>
      <c r="D26" s="209"/>
      <c r="E26" s="209"/>
      <c r="F26" s="209"/>
      <c r="G26" s="210"/>
      <c r="H26" s="192">
        <f t="shared" ref="H26:Q26" si="4">SUM(H20:H25)</f>
        <v>2483.5123808314702</v>
      </c>
      <c r="I26" s="192">
        <f t="shared" si="4"/>
        <v>2985.7542417378736</v>
      </c>
      <c r="J26" s="887">
        <f t="shared" si="4"/>
        <v>3253.3278688000814</v>
      </c>
      <c r="K26" s="192">
        <f t="shared" si="4"/>
        <v>3434.1093380814168</v>
      </c>
      <c r="L26" s="192">
        <f t="shared" si="4"/>
        <v>3622.5041583955144</v>
      </c>
      <c r="M26" s="192">
        <f t="shared" si="4"/>
        <v>3822.5443547753398</v>
      </c>
      <c r="N26" s="192">
        <f t="shared" si="4"/>
        <v>4033.4180161611498</v>
      </c>
      <c r="O26" s="192">
        <f t="shared" si="4"/>
        <v>4256.4916217139335</v>
      </c>
      <c r="P26" s="192">
        <f t="shared" si="4"/>
        <v>4493.829916234703</v>
      </c>
      <c r="Q26" s="192">
        <f t="shared" si="4"/>
        <v>4738.6681008380674</v>
      </c>
      <c r="R26" s="192">
        <f t="shared" ref="R26:Z26" si="5">SUM(R20:R25)</f>
        <v>4998.0372682659363</v>
      </c>
      <c r="S26" s="192">
        <f t="shared" si="5"/>
        <v>5272.1518525263818</v>
      </c>
      <c r="T26" s="192">
        <f t="shared" si="5"/>
        <v>5559.9224741270336</v>
      </c>
      <c r="U26" s="192">
        <f t="shared" si="5"/>
        <v>5863.2120816613497</v>
      </c>
      <c r="V26" s="192">
        <f t="shared" si="5"/>
        <v>6183.0130723374677</v>
      </c>
      <c r="W26" s="192">
        <f t="shared" si="5"/>
        <v>6522.7033616464114</v>
      </c>
      <c r="X26" s="192">
        <f t="shared" si="5"/>
        <v>6881.7735139201786</v>
      </c>
      <c r="Y26" s="192">
        <f t="shared" si="5"/>
        <v>7262.1624488751631</v>
      </c>
      <c r="Z26" s="192">
        <f t="shared" si="5"/>
        <v>7661.6606122696376</v>
      </c>
    </row>
    <row r="27" spans="1:26" s="893" customFormat="1">
      <c r="A27" s="888"/>
      <c r="B27" s="889" t="s">
        <v>11</v>
      </c>
      <c r="C27" s="889"/>
      <c r="D27" s="889"/>
      <c r="E27" s="889"/>
      <c r="F27" s="889"/>
      <c r="G27" s="890"/>
      <c r="H27" s="891"/>
      <c r="I27" s="891"/>
      <c r="J27" s="891">
        <f>J26-J25</f>
        <v>3075.0141923653077</v>
      </c>
      <c r="K27" s="891"/>
      <c r="L27" s="891"/>
      <c r="M27" s="891"/>
      <c r="N27" s="891"/>
      <c r="O27" s="891"/>
      <c r="P27" s="891"/>
      <c r="Q27" s="891"/>
      <c r="R27" s="892"/>
      <c r="S27" s="892"/>
      <c r="T27" s="892"/>
      <c r="U27" s="892"/>
      <c r="V27" s="892"/>
      <c r="W27" s="892"/>
      <c r="X27" s="892"/>
      <c r="Y27" s="892"/>
      <c r="Z27" s="892"/>
    </row>
    <row r="28" spans="1:26">
      <c r="A28" s="203">
        <v>4</v>
      </c>
      <c r="B28" s="204" t="s">
        <v>392</v>
      </c>
      <c r="C28" s="204"/>
      <c r="D28" s="204"/>
      <c r="E28" s="204"/>
      <c r="F28" s="204"/>
      <c r="G28" s="205"/>
      <c r="H28" s="206">
        <f>H13-H26</f>
        <v>1978.5575690072892</v>
      </c>
      <c r="I28" s="206">
        <f t="shared" ref="I28:Z28" si="6">I13-I26</f>
        <v>2697.4922670180731</v>
      </c>
      <c r="J28" s="206">
        <f t="shared" si="6"/>
        <v>3134.0905030635745</v>
      </c>
      <c r="K28" s="206">
        <f t="shared" si="6"/>
        <v>3310.9971811668543</v>
      </c>
      <c r="L28" s="206">
        <f t="shared" si="6"/>
        <v>3500.4534196816676</v>
      </c>
      <c r="M28" s="206">
        <f t="shared" si="6"/>
        <v>3699.5699725832806</v>
      </c>
      <c r="N28" s="206">
        <f t="shared" si="6"/>
        <v>3910.3665867999675</v>
      </c>
      <c r="O28" s="206">
        <f t="shared" si="6"/>
        <v>4132.7533927609502</v>
      </c>
      <c r="P28" s="206">
        <f t="shared" si="6"/>
        <v>4366.0149588024451</v>
      </c>
      <c r="Q28" s="206">
        <f t="shared" si="6"/>
        <v>4618.3422555136167</v>
      </c>
      <c r="R28" s="206">
        <f t="shared" si="6"/>
        <v>4884.2116135703272</v>
      </c>
      <c r="S28" s="206">
        <f t="shared" si="6"/>
        <v>5165.0019190497424</v>
      </c>
      <c r="T28" s="206">
        <f t="shared" si="6"/>
        <v>5463.4866794214304</v>
      </c>
      <c r="U28" s="206">
        <f t="shared" si="6"/>
        <v>5779.5830747541586</v>
      </c>
      <c r="V28" s="206">
        <f t="shared" si="6"/>
        <v>6114.1803277265099</v>
      </c>
      <c r="W28" s="206">
        <f t="shared" si="6"/>
        <v>6465.8894393536875</v>
      </c>
      <c r="X28" s="206">
        <f t="shared" si="6"/>
        <v>6837.3221967736217</v>
      </c>
      <c r="Y28" s="206">
        <f t="shared" si="6"/>
        <v>7228.7619571325422</v>
      </c>
      <c r="Z28" s="206">
        <f t="shared" si="6"/>
        <v>7644.7673396780337</v>
      </c>
    </row>
    <row r="29" spans="1:26">
      <c r="A29" s="194"/>
      <c r="B29" s="195" t="s">
        <v>32</v>
      </c>
      <c r="C29" s="182">
        <f t="shared" ref="C29:E29" si="7">-C12</f>
        <v>-434.71000000000004</v>
      </c>
      <c r="D29" s="182">
        <f t="shared" si="7"/>
        <v>-2173.5299999999997</v>
      </c>
      <c r="E29" s="182">
        <f t="shared" si="7"/>
        <v>-3042.94</v>
      </c>
      <c r="F29" s="182">
        <f>-F12</f>
        <v>-3042.94</v>
      </c>
      <c r="G29" s="196"/>
      <c r="H29" s="197">
        <f>H28+SUM(C29:F29)</f>
        <v>-6715.5624309927116</v>
      </c>
      <c r="I29" s="197">
        <f t="shared" ref="I29:Z29" si="8">I28</f>
        <v>2697.4922670180731</v>
      </c>
      <c r="J29" s="197">
        <f t="shared" si="8"/>
        <v>3134.0905030635745</v>
      </c>
      <c r="K29" s="197">
        <f t="shared" si="8"/>
        <v>3310.9971811668543</v>
      </c>
      <c r="L29" s="197">
        <f t="shared" si="8"/>
        <v>3500.4534196816676</v>
      </c>
      <c r="M29" s="197">
        <f t="shared" si="8"/>
        <v>3699.5699725832806</v>
      </c>
      <c r="N29" s="197">
        <f t="shared" si="8"/>
        <v>3910.3665867999675</v>
      </c>
      <c r="O29" s="197">
        <f t="shared" si="8"/>
        <v>4132.7533927609502</v>
      </c>
      <c r="P29" s="197">
        <f t="shared" si="8"/>
        <v>4366.0149588024451</v>
      </c>
      <c r="Q29" s="197">
        <f t="shared" si="8"/>
        <v>4618.3422555136167</v>
      </c>
      <c r="R29" s="197">
        <f t="shared" si="8"/>
        <v>4884.2116135703272</v>
      </c>
      <c r="S29" s="197">
        <f t="shared" si="8"/>
        <v>5165.0019190497424</v>
      </c>
      <c r="T29" s="197">
        <f t="shared" si="8"/>
        <v>5463.4866794214304</v>
      </c>
      <c r="U29" s="197">
        <f t="shared" si="8"/>
        <v>5779.5830747541586</v>
      </c>
      <c r="V29" s="197">
        <f t="shared" si="8"/>
        <v>6114.1803277265099</v>
      </c>
      <c r="W29" s="197">
        <f t="shared" si="8"/>
        <v>6465.8894393536875</v>
      </c>
      <c r="X29" s="197">
        <f t="shared" si="8"/>
        <v>6837.3221967736217</v>
      </c>
      <c r="Y29" s="197">
        <f t="shared" si="8"/>
        <v>7228.7619571325422</v>
      </c>
      <c r="Z29" s="197">
        <f t="shared" si="8"/>
        <v>7644.7673396780337</v>
      </c>
    </row>
    <row r="30" spans="1:26">
      <c r="A30" s="52"/>
      <c r="B30" s="558" t="s">
        <v>567</v>
      </c>
      <c r="C30" s="17"/>
      <c r="D30" s="17"/>
      <c r="E30" s="17"/>
      <c r="F30" s="17"/>
      <c r="G30" s="201"/>
      <c r="H30" s="262">
        <f>H28/H13</f>
        <v>0.44341697715401929</v>
      </c>
      <c r="I30" s="262">
        <f t="shared" ref="I30:Z30" si="9">I28/I13</f>
        <v>0.47463932153253541</v>
      </c>
      <c r="J30" s="262">
        <f t="shared" si="9"/>
        <v>0.49066623173912144</v>
      </c>
      <c r="K30" s="262">
        <f t="shared" si="9"/>
        <v>0.49087396495791119</v>
      </c>
      <c r="L30" s="262">
        <f t="shared" si="9"/>
        <v>0.49143257997987444</v>
      </c>
      <c r="M30" s="262">
        <f t="shared" si="9"/>
        <v>0.49182581008209419</v>
      </c>
      <c r="N30" s="262">
        <f t="shared" si="9"/>
        <v>0.49225486115803579</v>
      </c>
      <c r="O30" s="262">
        <f t="shared" si="9"/>
        <v>0.49262518684699969</v>
      </c>
      <c r="P30" s="262">
        <f t="shared" si="9"/>
        <v>0.49278683999353196</v>
      </c>
      <c r="Q30" s="262">
        <f t="shared" si="9"/>
        <v>0.49357028363002869</v>
      </c>
      <c r="R30" s="262">
        <f t="shared" si="9"/>
        <v>0.49424090325711073</v>
      </c>
      <c r="S30" s="262">
        <f t="shared" si="9"/>
        <v>0.49486689878190526</v>
      </c>
      <c r="T30" s="262">
        <f t="shared" si="9"/>
        <v>0.49562586340748493</v>
      </c>
      <c r="U30" s="262">
        <f t="shared" si="9"/>
        <v>0.49640855113468568</v>
      </c>
      <c r="V30" s="262">
        <f t="shared" si="9"/>
        <v>0.4972012823425791</v>
      </c>
      <c r="W30" s="262">
        <f t="shared" si="9"/>
        <v>0.49781293003933613</v>
      </c>
      <c r="X30" s="262">
        <f t="shared" si="9"/>
        <v>0.49837994726168766</v>
      </c>
      <c r="Y30" s="262">
        <f t="shared" si="9"/>
        <v>0.498847537575699</v>
      </c>
      <c r="Z30" s="262">
        <f t="shared" si="9"/>
        <v>0.49944816410972442</v>
      </c>
    </row>
    <row r="31" spans="1:26">
      <c r="A31" s="52"/>
      <c r="B31" s="17" t="s">
        <v>33</v>
      </c>
      <c r="C31" s="17"/>
      <c r="D31" s="17"/>
      <c r="E31" s="17"/>
      <c r="F31" s="17"/>
      <c r="G31" s="201">
        <v>1</v>
      </c>
      <c r="H31" s="199">
        <f>G31/(1+0.1)</f>
        <v>0.90909090909090906</v>
      </c>
      <c r="I31" s="199">
        <f>H31/(1+0.1)</f>
        <v>0.82644628099173545</v>
      </c>
      <c r="J31" s="199">
        <f t="shared" ref="J31:Z31" si="10">I31/(1+0.1)</f>
        <v>0.75131480090157765</v>
      </c>
      <c r="K31" s="199">
        <f t="shared" si="10"/>
        <v>0.68301345536507052</v>
      </c>
      <c r="L31" s="199">
        <f t="shared" si="10"/>
        <v>0.62092132305915493</v>
      </c>
      <c r="M31" s="199">
        <f t="shared" si="10"/>
        <v>0.56447393005377711</v>
      </c>
      <c r="N31" s="199">
        <f t="shared" si="10"/>
        <v>0.51315811823070645</v>
      </c>
      <c r="O31" s="199">
        <f t="shared" si="10"/>
        <v>0.46650738020973309</v>
      </c>
      <c r="P31" s="199">
        <f t="shared" si="10"/>
        <v>0.42409761837248461</v>
      </c>
      <c r="Q31" s="199">
        <f t="shared" si="10"/>
        <v>0.38554328942953142</v>
      </c>
      <c r="R31" s="199">
        <f t="shared" si="10"/>
        <v>0.35049389948139215</v>
      </c>
      <c r="S31" s="199">
        <f t="shared" si="10"/>
        <v>0.31863081771035645</v>
      </c>
      <c r="T31" s="199">
        <f t="shared" si="10"/>
        <v>0.28966437973668768</v>
      </c>
      <c r="U31" s="199">
        <f t="shared" si="10"/>
        <v>0.26333125430607968</v>
      </c>
      <c r="V31" s="199">
        <f t="shared" si="10"/>
        <v>0.23939204936916333</v>
      </c>
      <c r="W31" s="199">
        <f t="shared" si="10"/>
        <v>0.21762913579014848</v>
      </c>
      <c r="X31" s="199">
        <f t="shared" si="10"/>
        <v>0.19784466890013497</v>
      </c>
      <c r="Y31" s="199">
        <f t="shared" si="10"/>
        <v>0.17985878990921358</v>
      </c>
      <c r="Z31" s="199">
        <f t="shared" si="10"/>
        <v>0.16350799082655779</v>
      </c>
    </row>
    <row r="32" spans="1:26" hidden="1">
      <c r="A32" s="52"/>
      <c r="B32" s="17" t="s">
        <v>34</v>
      </c>
      <c r="C32" s="182"/>
      <c r="D32" s="182"/>
      <c r="E32" s="182"/>
      <c r="F32" s="182"/>
      <c r="G32" s="211"/>
      <c r="H32" s="202">
        <f>H29*H31</f>
        <v>-6105.0567554479194</v>
      </c>
      <c r="I32" s="202">
        <f t="shared" ref="I32:Z32" si="11">I29*I31</f>
        <v>2229.332452081052</v>
      </c>
      <c r="J32" s="202">
        <f t="shared" si="11"/>
        <v>2354.6885823167349</v>
      </c>
      <c r="K32" s="202">
        <f t="shared" si="11"/>
        <v>2261.4556254127815</v>
      </c>
      <c r="L32" s="202">
        <f t="shared" si="11"/>
        <v>2173.5061686556842</v>
      </c>
      <c r="M32" s="202">
        <f t="shared" si="11"/>
        <v>2088.3108019330289</v>
      </c>
      <c r="N32" s="202">
        <f t="shared" si="11"/>
        <v>2006.6363592745017</v>
      </c>
      <c r="O32" s="202">
        <f t="shared" si="11"/>
        <v>1927.959958309797</v>
      </c>
      <c r="P32" s="202">
        <f t="shared" si="11"/>
        <v>1851.6165458067585</v>
      </c>
      <c r="Q32" s="202">
        <f t="shared" si="11"/>
        <v>1780.5708649021212</v>
      </c>
      <c r="R32" s="202">
        <f t="shared" si="11"/>
        <v>1711.8863743325664</v>
      </c>
      <c r="S32" s="202">
        <f t="shared" si="11"/>
        <v>1645.7287849423797</v>
      </c>
      <c r="T32" s="202">
        <f t="shared" si="11"/>
        <v>1582.5774801942641</v>
      </c>
      <c r="U32" s="202">
        <f t="shared" si="11"/>
        <v>1521.9448604412012</v>
      </c>
      <c r="V32" s="202">
        <f t="shared" si="11"/>
        <v>1463.686158867072</v>
      </c>
      <c r="W32" s="202">
        <f t="shared" si="11"/>
        <v>1407.1659308011906</v>
      </c>
      <c r="X32" s="202">
        <f t="shared" si="11"/>
        <v>1352.7277461842207</v>
      </c>
      <c r="Y32" s="202">
        <f t="shared" si="11"/>
        <v>1300.1563781516174</v>
      </c>
      <c r="Z32" s="202">
        <f t="shared" si="11"/>
        <v>1249.9805480472446</v>
      </c>
    </row>
    <row r="33" spans="1:27" hidden="1">
      <c r="A33" s="52"/>
      <c r="B33" s="17" t="s">
        <v>35</v>
      </c>
      <c r="C33" s="17"/>
      <c r="D33" s="17"/>
      <c r="E33" s="17"/>
      <c r="F33" s="17"/>
      <c r="G33" s="211"/>
      <c r="H33" s="202">
        <f>H29</f>
        <v>-6715.5624309927116</v>
      </c>
      <c r="I33" s="202">
        <f t="shared" ref="I33:Z33" si="12">I29</f>
        <v>2697.4922670180731</v>
      </c>
      <c r="J33" s="202">
        <f t="shared" si="12"/>
        <v>3134.0905030635745</v>
      </c>
      <c r="K33" s="202">
        <f t="shared" si="12"/>
        <v>3310.9971811668543</v>
      </c>
      <c r="L33" s="202">
        <f t="shared" si="12"/>
        <v>3500.4534196816676</v>
      </c>
      <c r="M33" s="202">
        <f t="shared" si="12"/>
        <v>3699.5699725832806</v>
      </c>
      <c r="N33" s="202">
        <f t="shared" si="12"/>
        <v>3910.3665867999675</v>
      </c>
      <c r="O33" s="202">
        <f t="shared" si="12"/>
        <v>4132.7533927609502</v>
      </c>
      <c r="P33" s="202">
        <f t="shared" si="12"/>
        <v>4366.0149588024451</v>
      </c>
      <c r="Q33" s="202">
        <f t="shared" si="12"/>
        <v>4618.3422555136167</v>
      </c>
      <c r="R33" s="202">
        <f t="shared" si="12"/>
        <v>4884.2116135703272</v>
      </c>
      <c r="S33" s="202">
        <f t="shared" si="12"/>
        <v>5165.0019190497424</v>
      </c>
      <c r="T33" s="202">
        <f t="shared" si="12"/>
        <v>5463.4866794214304</v>
      </c>
      <c r="U33" s="202">
        <f t="shared" si="12"/>
        <v>5779.5830747541586</v>
      </c>
      <c r="V33" s="202">
        <f t="shared" si="12"/>
        <v>6114.1803277265099</v>
      </c>
      <c r="W33" s="202">
        <f t="shared" si="12"/>
        <v>6465.8894393536875</v>
      </c>
      <c r="X33" s="202">
        <f t="shared" si="12"/>
        <v>6837.3221967736217</v>
      </c>
      <c r="Y33" s="202">
        <f t="shared" si="12"/>
        <v>7228.7619571325422</v>
      </c>
      <c r="Z33" s="202">
        <f t="shared" si="12"/>
        <v>7644.7673396780337</v>
      </c>
    </row>
    <row r="34" spans="1:27" hidden="1">
      <c r="A34" s="53"/>
      <c r="B34" s="55" t="s">
        <v>443</v>
      </c>
      <c r="C34" s="55"/>
      <c r="D34" s="55"/>
      <c r="E34" s="55"/>
      <c r="F34" s="55"/>
      <c r="G34" s="212"/>
      <c r="H34" s="213">
        <f>H29</f>
        <v>-6715.5624309927116</v>
      </c>
      <c r="I34" s="213">
        <f>H34+I29</f>
        <v>-4018.0701639746385</v>
      </c>
      <c r="J34" s="213">
        <f t="shared" ref="J34:Z34" si="13">I34+J29</f>
        <v>-883.979660911064</v>
      </c>
      <c r="K34" s="213">
        <f t="shared" si="13"/>
        <v>2427.0175202557903</v>
      </c>
      <c r="L34" s="213">
        <f t="shared" si="13"/>
        <v>5927.4709399374578</v>
      </c>
      <c r="M34" s="213">
        <f t="shared" si="13"/>
        <v>9627.0409125207389</v>
      </c>
      <c r="N34" s="213">
        <f t="shared" si="13"/>
        <v>13537.407499320707</v>
      </c>
      <c r="O34" s="213">
        <f t="shared" si="13"/>
        <v>17670.160892081658</v>
      </c>
      <c r="P34" s="213">
        <f t="shared" si="13"/>
        <v>22036.175850884101</v>
      </c>
      <c r="Q34" s="213">
        <f t="shared" si="13"/>
        <v>26654.518106397718</v>
      </c>
      <c r="R34" s="213">
        <f t="shared" si="13"/>
        <v>31538.729719968047</v>
      </c>
      <c r="S34" s="213">
        <f t="shared" si="13"/>
        <v>36703.731639017788</v>
      </c>
      <c r="T34" s="213">
        <f t="shared" si="13"/>
        <v>42167.21831843922</v>
      </c>
      <c r="U34" s="213">
        <f t="shared" si="13"/>
        <v>47946.801393193382</v>
      </c>
      <c r="V34" s="213">
        <f t="shared" si="13"/>
        <v>54060.981720919895</v>
      </c>
      <c r="W34" s="213">
        <f t="shared" si="13"/>
        <v>60526.871160273586</v>
      </c>
      <c r="X34" s="213">
        <f t="shared" si="13"/>
        <v>67364.193357047203</v>
      </c>
      <c r="Y34" s="213">
        <f t="shared" si="13"/>
        <v>74592.955314179751</v>
      </c>
      <c r="Z34" s="213">
        <f t="shared" si="13"/>
        <v>82237.722653857782</v>
      </c>
    </row>
    <row r="35" spans="1:27">
      <c r="A35" s="52"/>
      <c r="B35" s="17"/>
      <c r="C35" s="17"/>
      <c r="D35" s="17"/>
      <c r="E35" s="17"/>
      <c r="F35" s="17"/>
      <c r="G35" s="201"/>
      <c r="H35" s="202"/>
      <c r="I35" s="202"/>
      <c r="J35" s="202"/>
      <c r="K35" s="202"/>
      <c r="L35" s="202"/>
      <c r="M35" s="202"/>
      <c r="N35" s="202"/>
      <c r="O35" s="202"/>
      <c r="P35" s="202"/>
      <c r="Q35" s="202"/>
      <c r="R35" s="202"/>
      <c r="S35" s="202"/>
      <c r="T35" s="202"/>
      <c r="U35" s="202"/>
      <c r="V35" s="202"/>
      <c r="W35" s="202"/>
      <c r="X35" s="202"/>
      <c r="Y35" s="202"/>
      <c r="Z35" s="202"/>
    </row>
    <row r="36" spans="1:27">
      <c r="A36" s="52"/>
      <c r="B36" s="17"/>
      <c r="C36" s="17"/>
      <c r="D36" s="17"/>
      <c r="E36" s="17"/>
      <c r="F36" s="17"/>
      <c r="G36" s="201"/>
      <c r="H36" s="202"/>
      <c r="I36" s="202"/>
      <c r="J36" s="202"/>
      <c r="K36" s="202"/>
      <c r="L36" s="202"/>
      <c r="M36" s="202"/>
      <c r="N36" s="202"/>
      <c r="O36" s="202"/>
      <c r="P36" s="202"/>
      <c r="Q36" s="202"/>
      <c r="R36" s="202"/>
      <c r="S36" s="202"/>
      <c r="T36" s="202"/>
      <c r="U36" s="202"/>
      <c r="V36" s="202"/>
      <c r="W36" s="202"/>
      <c r="X36" s="202"/>
      <c r="Y36" s="202"/>
      <c r="Z36" s="202"/>
    </row>
    <row r="37" spans="1:27">
      <c r="A37" s="52"/>
      <c r="B37" s="214" t="s">
        <v>36</v>
      </c>
      <c r="C37" s="215"/>
      <c r="D37" s="215"/>
      <c r="E37" s="215"/>
      <c r="F37" s="215"/>
      <c r="G37" s="298">
        <f>NPV(0%,(H32:Z32))</f>
        <v>25804.8748652063</v>
      </c>
      <c r="H37" s="216"/>
      <c r="I37" s="199"/>
      <c r="J37" s="199"/>
      <c r="K37" s="199"/>
      <c r="L37" s="199"/>
      <c r="M37" s="199"/>
      <c r="N37" s="199"/>
      <c r="O37" s="199"/>
      <c r="P37" s="199"/>
      <c r="Q37" s="199"/>
      <c r="R37" s="199"/>
      <c r="S37" s="199"/>
      <c r="T37" s="199"/>
      <c r="U37" s="199"/>
      <c r="V37" s="199"/>
      <c r="W37" s="199"/>
      <c r="X37" s="199"/>
      <c r="Y37" s="199"/>
      <c r="Z37" s="199"/>
    </row>
    <row r="38" spans="1:27">
      <c r="A38" s="52"/>
      <c r="B38" s="217" t="s">
        <v>37</v>
      </c>
      <c r="C38" s="218"/>
      <c r="D38" s="218"/>
      <c r="E38" s="218"/>
      <c r="F38" s="218"/>
      <c r="G38" s="300">
        <f>IRR(C29:Z29,0.1)</f>
        <v>0.19196651560238287</v>
      </c>
      <c r="H38" s="219"/>
      <c r="I38" s="199"/>
      <c r="J38" s="199"/>
      <c r="K38" s="199"/>
      <c r="L38" s="199"/>
      <c r="M38" s="199"/>
      <c r="N38" s="199"/>
      <c r="O38" s="199"/>
      <c r="P38" s="199"/>
      <c r="Q38" s="199"/>
      <c r="R38" s="199"/>
      <c r="S38" s="199"/>
      <c r="T38" s="199"/>
      <c r="U38" s="199"/>
      <c r="V38" s="199"/>
      <c r="W38" s="199"/>
      <c r="X38" s="199"/>
      <c r="Y38" s="199"/>
      <c r="Z38" s="199"/>
    </row>
    <row r="39" spans="1:27">
      <c r="A39" s="52"/>
      <c r="B39" s="220" t="s">
        <v>396</v>
      </c>
      <c r="C39" s="221"/>
      <c r="D39" s="221"/>
      <c r="E39" s="221"/>
      <c r="F39" s="221"/>
      <c r="G39" s="299">
        <f>IF(SUM(H44:Z44)&lt;=25,SUM(H44:Z44)," N/A ")</f>
        <v>3.2669829095413285</v>
      </c>
      <c r="H39" s="222"/>
      <c r="I39" s="199"/>
      <c r="J39" s="199"/>
      <c r="K39" s="199"/>
      <c r="L39" s="199"/>
      <c r="M39" s="199"/>
      <c r="N39" s="199"/>
      <c r="O39" s="199"/>
      <c r="P39" s="199"/>
      <c r="Q39" s="199"/>
      <c r="R39" s="199"/>
      <c r="S39" s="199"/>
      <c r="T39" s="199"/>
      <c r="U39" s="199"/>
      <c r="V39" s="199"/>
      <c r="W39" s="199"/>
      <c r="X39" s="199"/>
      <c r="Y39" s="199"/>
      <c r="Z39" s="199"/>
    </row>
    <row r="40" spans="1:27" ht="16.5" customHeight="1">
      <c r="A40" s="52"/>
      <c r="B40" s="307" t="s">
        <v>397</v>
      </c>
      <c r="C40" s="308"/>
      <c r="D40" s="308"/>
      <c r="E40" s="308"/>
      <c r="F40" s="308"/>
      <c r="G40" s="309">
        <f>IF(SUM(H45:Z45)&lt;=25,SUM(H45:Z45)," N/A ")</f>
        <v>3.3908896778594593</v>
      </c>
      <c r="H40" s="310"/>
      <c r="I40" s="199"/>
      <c r="J40" s="199"/>
      <c r="K40" s="199"/>
      <c r="L40" s="199"/>
      <c r="M40" s="199"/>
      <c r="N40" s="199"/>
      <c r="O40" s="199"/>
      <c r="P40" s="199"/>
      <c r="Q40" s="199"/>
      <c r="R40" s="199"/>
      <c r="S40" s="199"/>
      <c r="T40" s="199"/>
      <c r="U40" s="199"/>
      <c r="V40" s="199"/>
      <c r="W40" s="199"/>
      <c r="X40" s="199"/>
      <c r="Y40" s="199"/>
      <c r="Z40" s="199"/>
    </row>
    <row r="41" spans="1:27" ht="19.5" customHeight="1">
      <c r="A41" s="286"/>
      <c r="H41" s="223">
        <v>1</v>
      </c>
      <c r="I41" s="301">
        <v>2</v>
      </c>
      <c r="J41" s="301">
        <v>3</v>
      </c>
      <c r="K41" s="301">
        <v>4</v>
      </c>
      <c r="L41" s="301">
        <v>5</v>
      </c>
      <c r="M41" s="301">
        <v>6</v>
      </c>
      <c r="N41" s="301">
        <v>7</v>
      </c>
      <c r="O41" s="301">
        <v>8</v>
      </c>
      <c r="P41" s="301">
        <v>9</v>
      </c>
      <c r="Q41" s="301">
        <v>10</v>
      </c>
      <c r="R41" s="301">
        <v>11</v>
      </c>
      <c r="S41" s="301">
        <v>12</v>
      </c>
      <c r="T41" s="301">
        <v>13</v>
      </c>
      <c r="U41" s="301">
        <v>14</v>
      </c>
      <c r="V41" s="301">
        <v>15</v>
      </c>
      <c r="W41" s="301">
        <v>16</v>
      </c>
      <c r="X41" s="301">
        <v>17</v>
      </c>
      <c r="Y41" s="301">
        <v>18</v>
      </c>
      <c r="Z41" s="302">
        <v>19</v>
      </c>
    </row>
    <row r="42" spans="1:27" ht="14.25" customHeight="1">
      <c r="A42" s="2"/>
      <c r="B42" s="303" t="s">
        <v>398</v>
      </c>
      <c r="H42" s="223">
        <f>IF(H34&lt;0,1,IF(H33=0,0,-G34/H33))</f>
        <v>1</v>
      </c>
      <c r="I42" s="223">
        <f t="shared" ref="I42:Z42" si="14">IF(I34&lt;0,1,IF(I33=0,0,-H34/I33))</f>
        <v>1</v>
      </c>
      <c r="J42" s="223">
        <f t="shared" si="14"/>
        <v>1</v>
      </c>
      <c r="K42" s="223">
        <f t="shared" si="14"/>
        <v>0.26698290954132853</v>
      </c>
      <c r="L42" s="223">
        <f t="shared" si="14"/>
        <v>-0.69334375558595607</v>
      </c>
      <c r="M42" s="223">
        <f t="shared" si="14"/>
        <v>-1.6022053870759774</v>
      </c>
      <c r="N42" s="223">
        <f t="shared" si="14"/>
        <v>-2.4619279801076113</v>
      </c>
      <c r="O42" s="223">
        <f t="shared" si="14"/>
        <v>-3.2756388327049031</v>
      </c>
      <c r="P42" s="223">
        <f t="shared" si="14"/>
        <v>-4.0472057605886924</v>
      </c>
      <c r="Q42" s="223">
        <f t="shared" si="14"/>
        <v>-4.7714471192723256</v>
      </c>
      <c r="R42" s="223">
        <f t="shared" si="14"/>
        <v>-5.4572815871328384</v>
      </c>
      <c r="S42" s="223">
        <f t="shared" si="14"/>
        <v>-6.1062377544615796</v>
      </c>
      <c r="T42" s="223">
        <f t="shared" si="14"/>
        <v>-6.7180051481162613</v>
      </c>
      <c r="U42" s="223">
        <f t="shared" si="14"/>
        <v>-7.2958927613014461</v>
      </c>
      <c r="V42" s="223">
        <f t="shared" si="14"/>
        <v>-7.8419017469545045</v>
      </c>
      <c r="W42" s="223">
        <f t="shared" si="14"/>
        <v>-8.3609505278400924</v>
      </c>
      <c r="X42" s="223">
        <f t="shared" si="14"/>
        <v>-8.8524234222624241</v>
      </c>
      <c r="Y42" s="223">
        <f t="shared" si="14"/>
        <v>-9.3189115586493578</v>
      </c>
      <c r="Z42" s="306">
        <f t="shared" si="14"/>
        <v>-9.7573872427779218</v>
      </c>
    </row>
    <row r="43" spans="1:27">
      <c r="A43" s="63"/>
      <c r="B43" s="303" t="s">
        <v>399</v>
      </c>
      <c r="H43" s="223">
        <f>IF(H34&lt;0,1,IF(H32=0,0,-G34/H32))</f>
        <v>1</v>
      </c>
      <c r="I43" s="223">
        <f>IF(I34&lt;0,1,IF(I32=0,0,-H34/I32))</f>
        <v>1</v>
      </c>
      <c r="J43" s="223">
        <f t="shared" ref="J43:Z43" si="15">IF(J34&lt;0,1,IF(J32=0,0,-I34/J32))</f>
        <v>1</v>
      </c>
      <c r="K43" s="223">
        <f t="shared" si="15"/>
        <v>0.39088967785945922</v>
      </c>
      <c r="L43" s="223">
        <f t="shared" si="15"/>
        <v>-1.1166370518087387</v>
      </c>
      <c r="M43" s="223">
        <f t="shared" si="15"/>
        <v>-2.8384045777337068</v>
      </c>
      <c r="N43" s="223">
        <f t="shared" si="15"/>
        <v>-4.7976011538041652</v>
      </c>
      <c r="O43" s="223">
        <f t="shared" si="15"/>
        <v>-7.0216227473876973</v>
      </c>
      <c r="P43" s="223">
        <f t="shared" si="15"/>
        <v>-9.5430994781820129</v>
      </c>
      <c r="Q43" s="223">
        <f t="shared" si="15"/>
        <v>-12.375904989378471</v>
      </c>
      <c r="R43" s="223">
        <f t="shared" si="15"/>
        <v>-15.570261266195212</v>
      </c>
      <c r="S43" s="223">
        <f t="shared" si="15"/>
        <v>-19.163989843607361</v>
      </c>
      <c r="T43" s="223">
        <f t="shared" si="15"/>
        <v>-23.19237579098645</v>
      </c>
      <c r="U43" s="223">
        <f t="shared" si="15"/>
        <v>-27.706140619454004</v>
      </c>
      <c r="V43" s="223">
        <f t="shared" si="15"/>
        <v>-32.75756971720314</v>
      </c>
      <c r="W43" s="223">
        <f t="shared" si="15"/>
        <v>-38.41834181569439</v>
      </c>
      <c r="X43" s="223">
        <f t="shared" si="15"/>
        <v>-44.744311138000981</v>
      </c>
      <c r="Y43" s="223">
        <f t="shared" si="15"/>
        <v>-51.812377717837528</v>
      </c>
      <c r="Z43" s="306">
        <f t="shared" si="15"/>
        <v>-59.675292892126201</v>
      </c>
    </row>
    <row r="44" spans="1:27">
      <c r="A44" s="2"/>
      <c r="B44" s="303" t="s">
        <v>400</v>
      </c>
      <c r="H44" s="296">
        <f>IF(H42&gt;0,H42,0)</f>
        <v>1</v>
      </c>
      <c r="I44" s="296">
        <f t="shared" ref="I44:Z45" si="16">IF(I42&gt;0,I42,0)</f>
        <v>1</v>
      </c>
      <c r="J44" s="296">
        <f t="shared" si="16"/>
        <v>1</v>
      </c>
      <c r="K44" s="296">
        <f t="shared" si="16"/>
        <v>0.26698290954132853</v>
      </c>
      <c r="L44" s="296">
        <f t="shared" si="16"/>
        <v>0</v>
      </c>
      <c r="M44" s="296">
        <f t="shared" si="16"/>
        <v>0</v>
      </c>
      <c r="N44" s="296">
        <f t="shared" si="16"/>
        <v>0</v>
      </c>
      <c r="O44" s="296">
        <f t="shared" si="16"/>
        <v>0</v>
      </c>
      <c r="P44" s="296">
        <f t="shared" si="16"/>
        <v>0</v>
      </c>
      <c r="Q44" s="296">
        <f t="shared" si="16"/>
        <v>0</v>
      </c>
      <c r="R44" s="296">
        <f t="shared" si="16"/>
        <v>0</v>
      </c>
      <c r="S44" s="296">
        <f t="shared" si="16"/>
        <v>0</v>
      </c>
      <c r="T44" s="296">
        <f t="shared" si="16"/>
        <v>0</v>
      </c>
      <c r="U44" s="296">
        <f t="shared" si="16"/>
        <v>0</v>
      </c>
      <c r="V44" s="296">
        <f t="shared" si="16"/>
        <v>0</v>
      </c>
      <c r="W44" s="296">
        <f t="shared" si="16"/>
        <v>0</v>
      </c>
      <c r="X44" s="296">
        <f t="shared" si="16"/>
        <v>0</v>
      </c>
      <c r="Y44" s="296">
        <f t="shared" si="16"/>
        <v>0</v>
      </c>
      <c r="Z44" s="297">
        <f t="shared" si="16"/>
        <v>0</v>
      </c>
      <c r="AA44" s="297"/>
    </row>
    <row r="45" spans="1:27">
      <c r="A45" s="2"/>
      <c r="B45" s="295" t="s">
        <v>401</v>
      </c>
      <c r="C45" s="225"/>
      <c r="D45" s="225"/>
      <c r="E45" s="225"/>
      <c r="F45" s="225"/>
      <c r="G45" s="225"/>
      <c r="H45" s="304">
        <f>IF(H43&gt;0,H43,0)</f>
        <v>1</v>
      </c>
      <c r="I45" s="304">
        <f t="shared" si="16"/>
        <v>1</v>
      </c>
      <c r="J45" s="304">
        <f t="shared" si="16"/>
        <v>1</v>
      </c>
      <c r="K45" s="304">
        <f t="shared" si="16"/>
        <v>0.39088967785945922</v>
      </c>
      <c r="L45" s="304">
        <f t="shared" si="16"/>
        <v>0</v>
      </c>
      <c r="M45" s="304">
        <f t="shared" si="16"/>
        <v>0</v>
      </c>
      <c r="N45" s="304">
        <f t="shared" si="16"/>
        <v>0</v>
      </c>
      <c r="O45" s="304">
        <f t="shared" si="16"/>
        <v>0</v>
      </c>
      <c r="P45" s="304">
        <f t="shared" si="16"/>
        <v>0</v>
      </c>
      <c r="Q45" s="304">
        <f t="shared" si="16"/>
        <v>0</v>
      </c>
      <c r="R45" s="304">
        <f t="shared" si="16"/>
        <v>0</v>
      </c>
      <c r="S45" s="304">
        <f t="shared" si="16"/>
        <v>0</v>
      </c>
      <c r="T45" s="304">
        <f t="shared" si="16"/>
        <v>0</v>
      </c>
      <c r="U45" s="304">
        <f t="shared" si="16"/>
        <v>0</v>
      </c>
      <c r="V45" s="304">
        <f t="shared" si="16"/>
        <v>0</v>
      </c>
      <c r="W45" s="304">
        <f t="shared" si="16"/>
        <v>0</v>
      </c>
      <c r="X45" s="304">
        <f t="shared" si="16"/>
        <v>0</v>
      </c>
      <c r="Y45" s="304">
        <f t="shared" si="16"/>
        <v>0</v>
      </c>
      <c r="Z45" s="305">
        <f t="shared" si="16"/>
        <v>0</v>
      </c>
    </row>
    <row r="46" spans="1:27">
      <c r="H46" s="1"/>
      <c r="I46" s="1"/>
      <c r="J46" s="1"/>
      <c r="K46" s="1"/>
      <c r="L46" s="1"/>
      <c r="M46" s="1"/>
      <c r="N46" s="1"/>
      <c r="O46" s="1"/>
      <c r="P46" s="1"/>
      <c r="Q46" s="1"/>
      <c r="R46" s="1"/>
      <c r="S46" s="1"/>
      <c r="T46" s="1"/>
      <c r="U46" s="1"/>
      <c r="V46" s="1"/>
      <c r="W46" s="1"/>
      <c r="X46" s="1"/>
      <c r="Y46" s="1"/>
      <c r="Z46" s="1"/>
    </row>
    <row r="47" spans="1:27">
      <c r="A47" s="1"/>
      <c r="H47" s="1"/>
      <c r="I47" s="1"/>
      <c r="J47" s="1"/>
      <c r="K47" s="1"/>
      <c r="L47" s="1"/>
      <c r="M47" s="1"/>
      <c r="N47" s="1"/>
      <c r="O47" s="1"/>
      <c r="P47" s="1"/>
      <c r="Q47" s="1"/>
      <c r="R47" s="1"/>
      <c r="S47" s="1"/>
      <c r="T47" s="1"/>
      <c r="U47" s="1"/>
      <c r="V47" s="1"/>
      <c r="W47" s="1"/>
      <c r="X47" s="1"/>
      <c r="Y47" s="1"/>
      <c r="Z47" s="1"/>
    </row>
    <row r="48" spans="1:27">
      <c r="A48" s="1"/>
      <c r="I48" s="229"/>
      <c r="J48" s="1083"/>
      <c r="K48" s="1083"/>
      <c r="L48" s="1083"/>
      <c r="M48" s="1083"/>
      <c r="N48" s="1083"/>
    </row>
    <row r="49" spans="1:26">
      <c r="A49" s="1"/>
      <c r="B49" s="227" t="s">
        <v>395</v>
      </c>
      <c r="C49" s="228">
        <v>4.4999999999999998E-2</v>
      </c>
    </row>
    <row r="50" spans="1:26">
      <c r="A50" s="1"/>
      <c r="B50" s="227" t="s">
        <v>346</v>
      </c>
      <c r="C50" s="291">
        <v>4</v>
      </c>
      <c r="L50" s="226"/>
      <c r="M50" s="226"/>
      <c r="N50" s="226"/>
      <c r="O50" s="226"/>
      <c r="P50" s="226"/>
      <c r="Q50" s="226"/>
    </row>
    <row r="51" spans="1:26">
      <c r="A51" s="1"/>
    </row>
    <row r="52" spans="1:26">
      <c r="B52" s="287" t="s">
        <v>389</v>
      </c>
      <c r="C52" s="287"/>
      <c r="D52" s="287"/>
      <c r="E52" s="287"/>
      <c r="F52" s="287"/>
      <c r="G52" s="287"/>
      <c r="H52" s="158">
        <f t="shared" ref="H52:Z52" si="17">H14/((350000)*H3)*10^7</f>
        <v>74749.50916666667</v>
      </c>
      <c r="I52" s="158">
        <f t="shared" si="17"/>
        <v>79050.595924116657</v>
      </c>
      <c r="J52" s="158">
        <f t="shared" si="17"/>
        <v>83599.167213590321</v>
      </c>
      <c r="K52" s="158">
        <f t="shared" si="17"/>
        <v>88409.463295060283</v>
      </c>
      <c r="L52" s="158">
        <f t="shared" si="17"/>
        <v>93496.543813058059</v>
      </c>
      <c r="M52" s="158">
        <f t="shared" si="17"/>
        <v>98876.334944061411</v>
      </c>
      <c r="N52" s="158">
        <f t="shared" si="17"/>
        <v>104565.67925674266</v>
      </c>
      <c r="O52" s="158">
        <f t="shared" si="17"/>
        <v>110582.38844117564</v>
      </c>
      <c r="P52" s="158">
        <f t="shared" si="17"/>
        <v>116945.29907208083</v>
      </c>
      <c r="Q52" s="158">
        <f t="shared" si="17"/>
        <v>123674.33158068836</v>
      </c>
      <c r="R52" s="158">
        <f t="shared" si="17"/>
        <v>130790.55261984115</v>
      </c>
      <c r="S52" s="158">
        <f t="shared" si="17"/>
        <v>138316.24101758681</v>
      </c>
      <c r="T52" s="158">
        <f t="shared" si="17"/>
        <v>146274.95752573875</v>
      </c>
      <c r="U52" s="158">
        <f t="shared" si="17"/>
        <v>154691.61858176976</v>
      </c>
      <c r="V52" s="158">
        <f t="shared" si="17"/>
        <v>163592.57431496476</v>
      </c>
      <c r="W52" s="158">
        <f t="shared" si="17"/>
        <v>173005.69104104786</v>
      </c>
      <c r="X52" s="158">
        <f t="shared" si="17"/>
        <v>182960.43850354964</v>
      </c>
      <c r="Y52" s="158">
        <f t="shared" si="17"/>
        <v>193487.98213504389</v>
      </c>
      <c r="Z52" s="158">
        <f t="shared" si="17"/>
        <v>204621.28062709427</v>
      </c>
    </row>
    <row r="53" spans="1:26">
      <c r="B53" s="287" t="s">
        <v>477</v>
      </c>
      <c r="H53" s="158">
        <f>H15/((200000)*90%)*10^7</f>
        <v>77038.391071428574</v>
      </c>
      <c r="I53" s="158">
        <f t="shared" ref="I53:Z53" si="18">I15/((200000)*100%)*10^7</f>
        <v>81551.685212348224</v>
      </c>
      <c r="J53" s="158">
        <f t="shared" si="18"/>
        <v>86329.390690513625</v>
      </c>
      <c r="K53" s="158">
        <f t="shared" si="18"/>
        <v>91386.998044117368</v>
      </c>
      <c r="L53" s="158">
        <f t="shared" si="18"/>
        <v>96740.905324531981</v>
      </c>
      <c r="M53" s="158">
        <f t="shared" si="18"/>
        <v>102408.47126296967</v>
      </c>
      <c r="N53" s="158">
        <f t="shared" si="18"/>
        <v>108408.0715519107</v>
      </c>
      <c r="O53" s="158">
        <f t="shared" si="18"/>
        <v>114759.15842377942</v>
      </c>
      <c r="P53" s="158">
        <f t="shared" si="18"/>
        <v>121482.32372003648</v>
      </c>
      <c r="Q53" s="158">
        <f t="shared" si="18"/>
        <v>128599.36565517483</v>
      </c>
      <c r="R53" s="158">
        <f t="shared" si="18"/>
        <v>136133.35949208323</v>
      </c>
      <c r="S53" s="158">
        <f t="shared" si="18"/>
        <v>144108.73235792693</v>
      </c>
      <c r="T53" s="158">
        <f t="shared" si="18"/>
        <v>152551.34244311607</v>
      </c>
      <c r="U53" s="158">
        <f t="shared" si="18"/>
        <v>161488.56284014598</v>
      </c>
      <c r="V53" s="158">
        <f t="shared" si="18"/>
        <v>170949.37029413591</v>
      </c>
      <c r="W53" s="158">
        <f t="shared" si="18"/>
        <v>180964.43915281785</v>
      </c>
      <c r="X53" s="158">
        <f t="shared" si="18"/>
        <v>191566.2408205856</v>
      </c>
      <c r="Y53" s="158">
        <f t="shared" si="18"/>
        <v>202789.14903905967</v>
      </c>
      <c r="Z53" s="158">
        <f t="shared" si="18"/>
        <v>214669.55133551292</v>
      </c>
    </row>
    <row r="54" spans="1:26">
      <c r="B54" s="287" t="s">
        <v>478</v>
      </c>
      <c r="H54" s="158">
        <f>H16/((200000)*90%)*10^7</f>
        <v>36032.882845758926</v>
      </c>
      <c r="I54" s="158">
        <f t="shared" ref="I54:Z54" si="19">I16/((200000)*90%)*10^7</f>
        <v>42340.238805226545</v>
      </c>
      <c r="J54" s="158">
        <f t="shared" si="19"/>
        <v>44776.496146079284</v>
      </c>
      <c r="K54" s="158">
        <f t="shared" si="19"/>
        <v>47352.935734324681</v>
      </c>
      <c r="L54" s="158">
        <f t="shared" si="19"/>
        <v>50077.623656477706</v>
      </c>
      <c r="M54" s="158">
        <f t="shared" si="19"/>
        <v>52959.090121671434</v>
      </c>
      <c r="N54" s="158">
        <f t="shared" si="19"/>
        <v>56006.356167272403</v>
      </c>
      <c r="O54" s="158">
        <f t="shared" si="19"/>
        <v>59228.961901137256</v>
      </c>
      <c r="P54" s="158">
        <f t="shared" si="19"/>
        <v>62636.996368928674</v>
      </c>
      <c r="Q54" s="158">
        <f t="shared" si="19"/>
        <v>66241.129139996818</v>
      </c>
      <c r="R54" s="158">
        <f t="shared" si="19"/>
        <v>70052.643710712218</v>
      </c>
      <c r="S54" s="158">
        <f t="shared" si="19"/>
        <v>74083.472829826613</v>
      </c>
      <c r="T54" s="158">
        <f t="shared" si="19"/>
        <v>78346.235856454805</v>
      </c>
      <c r="U54" s="158">
        <f t="shared" si="19"/>
        <v>82854.278267635236</v>
      </c>
      <c r="V54" s="158">
        <f t="shared" si="19"/>
        <v>87621.713439154948</v>
      </c>
      <c r="W54" s="158">
        <f t="shared" si="19"/>
        <v>92663.466830443926</v>
      </c>
      <c r="X54" s="158">
        <f t="shared" si="19"/>
        <v>97995.322711867615</v>
      </c>
      <c r="Y54" s="158">
        <f t="shared" si="19"/>
        <v>103633.97358070849</v>
      </c>
      <c r="Z54" s="158">
        <f t="shared" si="19"/>
        <v>109597.07242054242</v>
      </c>
    </row>
    <row r="55" spans="1:26">
      <c r="B55" s="1" t="s">
        <v>390</v>
      </c>
      <c r="H55" s="75">
        <f>H26/((673000))*10^7</f>
        <v>36902.115614137743</v>
      </c>
      <c r="I55" s="75">
        <f t="shared" ref="I55:Z55" si="20">I26/((673000))*10^7</f>
        <v>44364.847574114021</v>
      </c>
      <c r="J55" s="75">
        <f t="shared" si="20"/>
        <v>48340.681557207754</v>
      </c>
      <c r="K55" s="75">
        <f t="shared" si="20"/>
        <v>51026.884666885839</v>
      </c>
      <c r="L55" s="75">
        <f t="shared" si="20"/>
        <v>53826.213349116115</v>
      </c>
      <c r="M55" s="75">
        <f t="shared" si="20"/>
        <v>56798.578822813375</v>
      </c>
      <c r="N55" s="75">
        <f t="shared" si="20"/>
        <v>59931.917030626297</v>
      </c>
      <c r="O55" s="75">
        <f t="shared" si="20"/>
        <v>63246.532269152056</v>
      </c>
      <c r="P55" s="75">
        <f t="shared" si="20"/>
        <v>66773.104253115947</v>
      </c>
      <c r="Q55" s="75">
        <f t="shared" si="20"/>
        <v>70411.115911412591</v>
      </c>
      <c r="R55" s="75">
        <f t="shared" si="20"/>
        <v>74265.041133223422</v>
      </c>
      <c r="S55" s="75">
        <f t="shared" si="20"/>
        <v>78338.066159381604</v>
      </c>
      <c r="T55" s="75">
        <f t="shared" si="20"/>
        <v>82614.004073210002</v>
      </c>
      <c r="U55" s="75">
        <f t="shared" si="20"/>
        <v>87120.536131669389</v>
      </c>
      <c r="V55" s="75">
        <f t="shared" si="20"/>
        <v>91872.408207094617</v>
      </c>
      <c r="W55" s="75">
        <f t="shared" si="20"/>
        <v>96919.812208713396</v>
      </c>
      <c r="X55" s="75">
        <f t="shared" si="20"/>
        <v>102255.17851292984</v>
      </c>
      <c r="Y55" s="75">
        <f t="shared" si="20"/>
        <v>107907.3172195418</v>
      </c>
      <c r="Z55" s="75">
        <f t="shared" si="20"/>
        <v>113843.39691336757</v>
      </c>
    </row>
    <row r="56" spans="1:26">
      <c r="B56" s="1" t="s">
        <v>485</v>
      </c>
      <c r="H56" s="75">
        <f>'Cashflow PhenolOption1-Propane'!H19/((223000))*10^7</f>
        <v>67978.242395558147</v>
      </c>
      <c r="I56" s="75">
        <f>'Cashflow PhenolOption1-Propane'!I19/((223000))*10^7</f>
        <v>79546.114659656741</v>
      </c>
      <c r="J56" s="75">
        <f>'Cashflow PhenolOption1-Propane'!J19/((223000))*10^7</f>
        <v>83925.122852828223</v>
      </c>
      <c r="K56" s="75">
        <f>'Cashflow PhenolOption1-Propane'!K19/((223000))*10^7</f>
        <v>88547.185791439304</v>
      </c>
      <c r="L56" s="75">
        <f>'Cashflow PhenolOption1-Propane'!L19/((223000))*10^7</f>
        <v>93425.887743172672</v>
      </c>
      <c r="M56" s="75">
        <f>'Cashflow PhenolOption1-Propane'!M19/((223000))*10^7</f>
        <v>98575.576564867049</v>
      </c>
      <c r="N56" s="75">
        <f>'Cashflow PhenolOption1-Propane'!N19/((223000)*N3)*10^7</f>
        <v>104011.40682720454</v>
      </c>
      <c r="O56" s="75">
        <f>'Cashflow PhenolOption1-Propane'!O19/((223000)*O3)*10^7</f>
        <v>109749.38538424276</v>
      </c>
      <c r="P56" s="75">
        <f>'Cashflow PhenolOption1-Propane'!P19/((223000)*P3)*10^7</f>
        <v>115806.41952682195</v>
      </c>
      <c r="Q56" s="75">
        <f>'Cashflow PhenolOption1-Propane'!Q19/((223000)*Q3)*10^7</f>
        <v>122200.36786680578</v>
      </c>
      <c r="R56" s="75">
        <f>'Cashflow PhenolOption1-Propane'!R19/((223000)*R3)*10^7</f>
        <v>128950.09410749076</v>
      </c>
      <c r="S56" s="75">
        <f>'Cashflow PhenolOption1-Propane'!S19/((223000)*S3)*10^7</f>
        <v>136075.5238643781</v>
      </c>
      <c r="T56" s="75">
        <f>'Cashflow PhenolOption1-Propane'!T19/((223000)*T3)*10^7</f>
        <v>143597.70470986411</v>
      </c>
      <c r="U56" s="75">
        <f>'Cashflow PhenolOption1-Propane'!U19/((223000)*U3)*10^7</f>
        <v>151538.86962530424</v>
      </c>
      <c r="V56" s="75">
        <f>'Cashflow PhenolOption1-Propane'!V19/((223000)*V3)*10^7</f>
        <v>159922.50405436833</v>
      </c>
      <c r="W56" s="75">
        <f>'Cashflow PhenolOption1-Propane'!W19/((223000)*W3)*10^7</f>
        <v>168773.41676266788</v>
      </c>
      <c r="X56" s="75">
        <f>'Cashflow PhenolOption1-Propane'!X19/((223000)*X3)*10^7</f>
        <v>178117.81472032843</v>
      </c>
      <c r="Y56" s="75">
        <f>'Cashflow PhenolOption1-Propane'!Y19/((223000)*Y3)*10^7</f>
        <v>187983.38223654396</v>
      </c>
      <c r="Z56" s="75">
        <f>'Cashflow PhenolOption1-Propane'!Z19/((223000)*Z3)*10^7</f>
        <v>198399.36458821685</v>
      </c>
    </row>
    <row r="57" spans="1:26">
      <c r="B57" s="225" t="s">
        <v>476</v>
      </c>
      <c r="H57" s="75">
        <f>H52-H55</f>
        <v>37847.393552528927</v>
      </c>
      <c r="I57" s="75">
        <f t="shared" ref="I57:Z57" si="21">I52-I55</f>
        <v>34685.748350002636</v>
      </c>
      <c r="J57" s="75">
        <f t="shared" si="21"/>
        <v>35258.485656382567</v>
      </c>
      <c r="K57" s="75">
        <f t="shared" si="21"/>
        <v>37382.578628174444</v>
      </c>
      <c r="L57" s="75">
        <f t="shared" si="21"/>
        <v>39670.330463941944</v>
      </c>
      <c r="M57" s="75">
        <f t="shared" si="21"/>
        <v>42077.756121248036</v>
      </c>
      <c r="N57" s="75">
        <f t="shared" si="21"/>
        <v>44633.762226116363</v>
      </c>
      <c r="O57" s="75">
        <f t="shared" si="21"/>
        <v>47335.856172023588</v>
      </c>
      <c r="P57" s="75">
        <f t="shared" si="21"/>
        <v>50172.194818964883</v>
      </c>
      <c r="Q57" s="75">
        <f t="shared" si="21"/>
        <v>53263.215669275771</v>
      </c>
      <c r="R57" s="75">
        <f t="shared" si="21"/>
        <v>56525.511486617732</v>
      </c>
      <c r="S57" s="75">
        <f t="shared" si="21"/>
        <v>59978.17485820521</v>
      </c>
      <c r="T57" s="75">
        <f t="shared" si="21"/>
        <v>63660.953452528745</v>
      </c>
      <c r="U57" s="75">
        <f t="shared" si="21"/>
        <v>67571.082450100366</v>
      </c>
      <c r="V57" s="75">
        <f t="shared" si="21"/>
        <v>71720.166107870144</v>
      </c>
      <c r="W57" s="75">
        <f t="shared" si="21"/>
        <v>76085.878832334463</v>
      </c>
      <c r="X57" s="75">
        <f t="shared" si="21"/>
        <v>80705.259990619801</v>
      </c>
      <c r="Y57" s="75">
        <f t="shared" si="21"/>
        <v>85580.664915502086</v>
      </c>
      <c r="Z57" s="75">
        <f t="shared" si="21"/>
        <v>90777.883713726696</v>
      </c>
    </row>
    <row r="58" spans="1:26">
      <c r="B58" s="225" t="s">
        <v>486</v>
      </c>
      <c r="H58" s="75">
        <f>(H53*0.62)+(H54*0.38)/323000</f>
        <v>47763.84485591259</v>
      </c>
      <c r="I58" s="75">
        <f t="shared" ref="I58:Z58" si="22">(I53*0.62)+(I54*0.38)/323000</f>
        <v>50562.094643701552</v>
      </c>
      <c r="J58" s="75">
        <f t="shared" si="22"/>
        <v>53524.274906349201</v>
      </c>
      <c r="K58" s="75">
        <f t="shared" si="22"/>
        <v>56659.994496688923</v>
      </c>
      <c r="L58" s="75">
        <f t="shared" si="22"/>
        <v>59979.420216061189</v>
      </c>
      <c r="M58" s="75">
        <f t="shared" si="22"/>
        <v>63493.314487853102</v>
      </c>
      <c r="N58" s="75">
        <f t="shared" si="22"/>
        <v>67213.07025201543</v>
      </c>
      <c r="O58" s="75">
        <f t="shared" si="22"/>
        <v>71150.747903874886</v>
      </c>
      <c r="P58" s="75">
        <f t="shared" si="22"/>
        <v>75319.114397006575</v>
      </c>
      <c r="Q58" s="75">
        <f t="shared" si="22"/>
        <v>79731.684636948557</v>
      </c>
      <c r="R58" s="75">
        <f t="shared" si="22"/>
        <v>84402.765299966559</v>
      </c>
      <c r="S58" s="75">
        <f t="shared" si="22"/>
        <v>89347.501218941557</v>
      </c>
      <c r="T58" s="75">
        <f t="shared" si="22"/>
        <v>94581.924486774151</v>
      </c>
      <c r="U58" s="75">
        <f t="shared" si="22"/>
        <v>100123.00643651199</v>
      </c>
      <c r="V58" s="75">
        <f t="shared" si="22"/>
        <v>105988.71266673302</v>
      </c>
      <c r="W58" s="75">
        <f t="shared" si="22"/>
        <v>112198.0612905904</v>
      </c>
      <c r="X58" s="75">
        <f t="shared" si="22"/>
        <v>118771.18459737803</v>
      </c>
      <c r="Y58" s="75">
        <f t="shared" si="22"/>
        <v>125729.39432653887</v>
      </c>
      <c r="Z58" s="75">
        <f t="shared" si="22"/>
        <v>133095.25076575027</v>
      </c>
    </row>
    <row r="59" spans="1:26">
      <c r="H59" s="616">
        <f>H57/H52</f>
        <v>0.50632297087251454</v>
      </c>
      <c r="I59" s="226"/>
      <c r="J59" s="226"/>
      <c r="K59" s="226"/>
      <c r="L59" s="226"/>
      <c r="M59" s="226"/>
      <c r="N59" s="226"/>
      <c r="P59" s="226"/>
    </row>
    <row r="60" spans="1:26">
      <c r="B60" s="1" t="s">
        <v>75</v>
      </c>
      <c r="I60" s="226"/>
      <c r="J60" s="226"/>
      <c r="K60" s="226"/>
      <c r="L60" s="226"/>
      <c r="M60" s="226"/>
      <c r="N60" s="226"/>
      <c r="P60" s="226"/>
    </row>
    <row r="61" spans="1:26">
      <c r="B61" s="1" t="s">
        <v>74</v>
      </c>
    </row>
    <row r="65" spans="2:13">
      <c r="B65" s="1" t="s">
        <v>38</v>
      </c>
    </row>
    <row r="66" spans="2:13">
      <c r="B66" s="1" t="s">
        <v>39</v>
      </c>
    </row>
    <row r="67" spans="2:13">
      <c r="B67" s="1" t="s">
        <v>40</v>
      </c>
    </row>
    <row r="71" spans="2:13">
      <c r="H71" s="199"/>
      <c r="I71" s="199"/>
      <c r="J71" s="199"/>
      <c r="K71" s="199"/>
      <c r="L71" s="199"/>
      <c r="M71" s="199"/>
    </row>
    <row r="72" spans="2:13">
      <c r="H72" s="231"/>
      <c r="I72" s="231"/>
      <c r="J72" s="231"/>
      <c r="K72" s="231"/>
      <c r="L72" s="231">
        <v>0.05</v>
      </c>
      <c r="M72" s="231"/>
    </row>
    <row r="73" spans="2:13">
      <c r="H73" s="231"/>
      <c r="I73" s="231"/>
      <c r="J73" s="231"/>
      <c r="K73" s="231"/>
      <c r="L73" s="231"/>
      <c r="M73" s="231"/>
    </row>
  </sheetData>
  <mergeCells count="9">
    <mergeCell ref="R4:Z4"/>
    <mergeCell ref="A1:H1"/>
    <mergeCell ref="B5:B6"/>
    <mergeCell ref="A7:G7"/>
    <mergeCell ref="J48:N48"/>
    <mergeCell ref="A2:B2"/>
    <mergeCell ref="A3:B3"/>
    <mergeCell ref="A4:B4"/>
    <mergeCell ref="H4:Q4"/>
  </mergeCells>
  <hyperlinks>
    <hyperlink ref="B37" r:id="rId1" display="NPV@12%" xr:uid="{0060485A-F42B-4A99-8530-98A7CC5B4162}"/>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D667-7FF8-4BC3-8258-BE7FB1A3242F}">
  <sheetPr codeName="Sheet45"/>
  <dimension ref="A1:AA75"/>
  <sheetViews>
    <sheetView showGridLines="0" zoomScale="96" zoomScaleNormal="96" workbookViewId="0">
      <pane ySplit="8" topLeftCell="A37" activePane="bottomLeft" state="frozen"/>
      <selection activeCell="G10" sqref="G10"/>
      <selection pane="bottomLeft" activeCell="B5" sqref="B5:B6"/>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6" ht="12.75" customHeight="1">
      <c r="A1" s="1079" t="str">
        <f>'Opex PVC'!A62</f>
        <v>Capacity for 350 KTPA PVC Resin and 200 KTPA Phenol + 123 KTPA Acetone-Propane Furnace</v>
      </c>
      <c r="B1" s="1080"/>
      <c r="C1" s="1080"/>
      <c r="D1" s="1080"/>
      <c r="E1" s="1080"/>
      <c r="F1" s="1080"/>
      <c r="G1" s="1080"/>
      <c r="H1" s="1080"/>
      <c r="I1" s="620"/>
      <c r="J1" s="620"/>
      <c r="K1" s="620"/>
      <c r="L1" s="620"/>
      <c r="M1" s="620"/>
      <c r="N1" s="620"/>
      <c r="O1" s="620"/>
      <c r="P1" s="620"/>
      <c r="Q1" s="620"/>
      <c r="R1" s="620"/>
      <c r="S1" s="620"/>
      <c r="T1" s="620"/>
      <c r="U1" s="620"/>
      <c r="V1" s="620"/>
      <c r="W1" s="620"/>
      <c r="X1" s="620"/>
      <c r="Y1" s="620"/>
      <c r="Z1" s="620"/>
    </row>
    <row r="2" spans="1:26" s="167" customFormat="1" ht="15" customHeight="1">
      <c r="A2" s="1079" t="s">
        <v>440</v>
      </c>
      <c r="B2" s="108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6" s="167" customFormat="1" ht="15" customHeight="1">
      <c r="A3" s="1088" t="s">
        <v>221</v>
      </c>
      <c r="B3" s="108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6" ht="15" customHeight="1">
      <c r="A4" s="1086" t="s">
        <v>24</v>
      </c>
      <c r="B4" s="1087"/>
      <c r="C4" s="169"/>
      <c r="D4" s="169"/>
      <c r="E4" s="169"/>
      <c r="F4" s="169"/>
      <c r="G4" s="170"/>
      <c r="H4" s="1078" t="s">
        <v>25</v>
      </c>
      <c r="I4" s="1078"/>
      <c r="J4" s="1078"/>
      <c r="K4" s="1078"/>
      <c r="L4" s="1078"/>
      <c r="M4" s="1078"/>
      <c r="N4" s="1078"/>
      <c r="O4" s="1078"/>
      <c r="P4" s="1078"/>
      <c r="Q4" s="1078"/>
      <c r="R4" s="1078" t="s">
        <v>25</v>
      </c>
      <c r="S4" s="1078"/>
      <c r="T4" s="1078"/>
      <c r="U4" s="1078"/>
      <c r="V4" s="1078"/>
      <c r="W4" s="1078"/>
      <c r="X4" s="1078"/>
      <c r="Y4" s="1078"/>
      <c r="Z4" s="1078"/>
    </row>
    <row r="5" spans="1:26">
      <c r="A5" s="239"/>
      <c r="B5" s="1081"/>
      <c r="C5" s="238">
        <v>2023</v>
      </c>
      <c r="D5" s="238">
        <v>2024</v>
      </c>
      <c r="E5" s="238">
        <v>2025</v>
      </c>
      <c r="F5" s="238">
        <v>2026</v>
      </c>
      <c r="G5" s="238" t="s">
        <v>150</v>
      </c>
      <c r="H5" s="238">
        <v>2027</v>
      </c>
      <c r="I5" s="238">
        <v>2028</v>
      </c>
      <c r="J5" s="238">
        <v>2029</v>
      </c>
      <c r="K5" s="238">
        <v>2030</v>
      </c>
      <c r="L5" s="238">
        <v>2031</v>
      </c>
      <c r="M5" s="238">
        <v>2032</v>
      </c>
      <c r="N5" s="238">
        <v>2033</v>
      </c>
      <c r="O5" s="238">
        <v>2034</v>
      </c>
      <c r="P5" s="238">
        <v>2035</v>
      </c>
      <c r="Q5" s="238">
        <v>2036</v>
      </c>
      <c r="R5" s="238">
        <v>2037</v>
      </c>
      <c r="S5" s="238">
        <v>2038</v>
      </c>
      <c r="T5" s="238">
        <v>2039</v>
      </c>
      <c r="U5" s="238">
        <v>2040</v>
      </c>
      <c r="V5" s="238">
        <v>2041</v>
      </c>
      <c r="W5" s="238">
        <v>2042</v>
      </c>
      <c r="X5" s="238">
        <v>2043</v>
      </c>
      <c r="Y5" s="238">
        <v>2044</v>
      </c>
      <c r="Z5" s="238">
        <v>2045</v>
      </c>
    </row>
    <row r="6" spans="1:26">
      <c r="A6" s="240"/>
      <c r="B6" s="108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row>
    <row r="7" spans="1:26" ht="19.5" customHeight="1">
      <c r="A7" s="1084" t="s">
        <v>241</v>
      </c>
      <c r="B7" s="1085"/>
      <c r="C7" s="1085"/>
      <c r="D7" s="1085"/>
      <c r="E7" s="1085"/>
      <c r="F7" s="1085"/>
      <c r="G7" s="1085"/>
      <c r="H7" s="177"/>
      <c r="I7" s="177"/>
      <c r="J7" s="177"/>
      <c r="K7" s="177"/>
      <c r="L7" s="177"/>
      <c r="M7" s="177"/>
      <c r="N7" s="178"/>
      <c r="O7" s="177"/>
      <c r="P7" s="178"/>
      <c r="Q7" s="177"/>
      <c r="R7" s="179"/>
      <c r="S7" s="179"/>
      <c r="T7" s="179"/>
      <c r="U7" s="179"/>
      <c r="V7" s="179"/>
      <c r="W7" s="179"/>
      <c r="X7" s="179"/>
      <c r="Y7" s="179"/>
      <c r="Z7" s="179"/>
    </row>
    <row r="8" spans="1:26" ht="21.75" customHeight="1">
      <c r="A8" s="180">
        <v>1</v>
      </c>
      <c r="B8" s="181" t="s">
        <v>495</v>
      </c>
      <c r="C8" s="182">
        <f>ROUND($G8*C$6,2)</f>
        <v>296.41000000000003</v>
      </c>
      <c r="D8" s="182">
        <f>ROUND($G8*D$6,2)</f>
        <v>1482.03</v>
      </c>
      <c r="E8" s="182">
        <f>ROUND($G8*E$6,2)</f>
        <v>2074.84</v>
      </c>
      <c r="F8" s="182">
        <f>ROUND($G8*F$6,2)</f>
        <v>2074.84</v>
      </c>
      <c r="G8" s="196">
        <f>'Cashflow 350 KTPA'!G8+(-'Cashflow Phenol Option 1-Ethane'!G8)</f>
        <v>5928.1247678079999</v>
      </c>
      <c r="H8" s="183"/>
      <c r="I8" s="184"/>
      <c r="J8" s="183"/>
      <c r="K8" s="183"/>
      <c r="L8" s="183"/>
      <c r="M8" s="183"/>
      <c r="N8" s="185"/>
      <c r="O8" s="183"/>
      <c r="P8" s="183"/>
      <c r="Q8" s="183"/>
      <c r="R8" s="186"/>
      <c r="S8" s="186"/>
      <c r="T8" s="186"/>
      <c r="U8" s="186"/>
      <c r="V8" s="186"/>
      <c r="W8" s="186"/>
      <c r="X8" s="186"/>
      <c r="Y8" s="186"/>
      <c r="Z8" s="186"/>
    </row>
    <row r="9" spans="1:26" ht="21.75" customHeight="1">
      <c r="A9" s="52"/>
      <c r="B9" s="605" t="s">
        <v>566</v>
      </c>
      <c r="C9" s="606">
        <f t="shared" ref="C9:E9" si="0">$G$9*C6</f>
        <v>133.20000000000002</v>
      </c>
      <c r="D9" s="606">
        <f t="shared" si="0"/>
        <v>666</v>
      </c>
      <c r="E9" s="606">
        <f t="shared" si="0"/>
        <v>932.4</v>
      </c>
      <c r="F9" s="606">
        <f>$G$9*F6</f>
        <v>932.4</v>
      </c>
      <c r="G9" s="604">
        <f>G10+G12+G13</f>
        <v>2664</v>
      </c>
      <c r="H9" s="199"/>
      <c r="I9" s="262"/>
      <c r="J9" s="199"/>
      <c r="K9" s="199"/>
      <c r="L9" s="199"/>
      <c r="M9" s="199"/>
      <c r="N9" s="607"/>
      <c r="O9" s="199"/>
      <c r="P9" s="199"/>
      <c r="Q9" s="199"/>
    </row>
    <row r="10" spans="1:26" ht="21.75" customHeight="1">
      <c r="A10" s="52"/>
      <c r="B10" s="975" t="s">
        <v>600</v>
      </c>
      <c r="C10" s="606"/>
      <c r="D10" s="606"/>
      <c r="E10" s="606"/>
      <c r="F10" s="606"/>
      <c r="G10" s="201">
        <v>1764</v>
      </c>
      <c r="H10" s="199"/>
      <c r="I10" s="262"/>
      <c r="J10" s="199"/>
      <c r="K10" s="199"/>
      <c r="L10" s="199"/>
      <c r="M10" s="199"/>
      <c r="N10" s="607"/>
      <c r="O10" s="199"/>
      <c r="P10" s="199"/>
      <c r="Q10" s="199"/>
    </row>
    <row r="11" spans="1:26" ht="21.75" customHeight="1">
      <c r="A11" s="52"/>
      <c r="B11" s="975" t="s">
        <v>601</v>
      </c>
      <c r="C11" s="606"/>
      <c r="D11" s="606"/>
      <c r="E11" s="606"/>
      <c r="F11" s="606"/>
      <c r="G11" s="201"/>
      <c r="H11" s="199"/>
      <c r="I11" s="262"/>
      <c r="J11" s="199"/>
      <c r="K11" s="199"/>
      <c r="L11" s="199"/>
      <c r="M11" s="199"/>
      <c r="N11" s="607"/>
      <c r="O11" s="199"/>
      <c r="P11" s="199"/>
      <c r="Q11" s="199"/>
    </row>
    <row r="12" spans="1:26" ht="21.75" customHeight="1">
      <c r="A12" s="52"/>
      <c r="B12" s="975" t="s">
        <v>602</v>
      </c>
      <c r="C12" s="606"/>
      <c r="D12" s="606"/>
      <c r="E12" s="606"/>
      <c r="F12" s="606"/>
      <c r="G12" s="201">
        <v>800</v>
      </c>
      <c r="H12" s="199"/>
      <c r="I12" s="262"/>
      <c r="J12" s="199"/>
      <c r="K12" s="199"/>
      <c r="L12" s="199"/>
      <c r="M12" s="199"/>
      <c r="N12" s="607"/>
      <c r="O12" s="199"/>
      <c r="P12" s="199"/>
      <c r="Q12" s="199"/>
    </row>
    <row r="13" spans="1:26" ht="21.75" customHeight="1">
      <c r="A13" s="52"/>
      <c r="B13" s="975" t="s">
        <v>603</v>
      </c>
      <c r="C13" s="606"/>
      <c r="D13" s="606"/>
      <c r="E13" s="606"/>
      <c r="F13" s="606"/>
      <c r="G13" s="201">
        <v>100</v>
      </c>
      <c r="H13" s="199"/>
      <c r="I13" s="262"/>
      <c r="J13" s="199"/>
      <c r="K13" s="199"/>
      <c r="L13" s="199"/>
      <c r="M13" s="199"/>
      <c r="N13" s="607"/>
      <c r="O13" s="199"/>
      <c r="P13" s="199"/>
      <c r="Q13" s="199"/>
    </row>
    <row r="14" spans="1:26" s="167" customFormat="1" ht="25.5" customHeight="1">
      <c r="A14" s="187"/>
      <c r="B14" s="188" t="s">
        <v>240</v>
      </c>
      <c r="C14" s="189">
        <f>SUM(C8:C9)</f>
        <v>429.61</v>
      </c>
      <c r="D14" s="189">
        <f t="shared" ref="D14:E14" si="1">SUM(D8:D9)</f>
        <v>2148.0299999999997</v>
      </c>
      <c r="E14" s="189">
        <f t="shared" si="1"/>
        <v>3007.2400000000002</v>
      </c>
      <c r="F14" s="189">
        <f>SUM(F8:F9)</f>
        <v>3007.2400000000002</v>
      </c>
      <c r="G14" s="242">
        <f>-G8-G9</f>
        <v>-8592.1247678079999</v>
      </c>
      <c r="H14" s="191"/>
      <c r="I14" s="191"/>
      <c r="J14" s="191"/>
      <c r="K14" s="191"/>
      <c r="L14" s="191"/>
      <c r="M14" s="191"/>
      <c r="N14" s="192"/>
      <c r="O14" s="192"/>
      <c r="P14" s="192"/>
      <c r="Q14" s="192"/>
      <c r="R14" s="193"/>
      <c r="S14" s="193"/>
      <c r="T14" s="193"/>
      <c r="U14" s="193"/>
      <c r="V14" s="193"/>
      <c r="W14" s="193"/>
      <c r="X14" s="193"/>
      <c r="Y14" s="193"/>
      <c r="Z14" s="193"/>
    </row>
    <row r="15" spans="1:26">
      <c r="A15" s="194">
        <v>2</v>
      </c>
      <c r="B15" s="195" t="s">
        <v>27</v>
      </c>
      <c r="C15" s="195"/>
      <c r="D15" s="195"/>
      <c r="E15" s="195"/>
      <c r="F15" s="195"/>
      <c r="G15" s="196"/>
      <c r="H15" s="197">
        <f>H16+H17+H18+H19</f>
        <v>4077.2093123775639</v>
      </c>
      <c r="I15" s="197">
        <f t="shared" ref="I15:Z15" si="2">I16+I17+I18+I19</f>
        <v>5166.1587522812979</v>
      </c>
      <c r="J15" s="197">
        <f t="shared" si="2"/>
        <v>5787.0220324014244</v>
      </c>
      <c r="K15" s="197">
        <f t="shared" si="2"/>
        <v>6117.6923445102393</v>
      </c>
      <c r="L15" s="197">
        <f t="shared" si="2"/>
        <v>6467.3097654759385</v>
      </c>
      <c r="M15" s="197">
        <f t="shared" si="2"/>
        <v>6836.9623631903214</v>
      </c>
      <c r="N15" s="197">
        <f t="shared" si="2"/>
        <v>7227.8008004052454</v>
      </c>
      <c r="O15" s="197">
        <f t="shared" si="2"/>
        <v>7641.041940803997</v>
      </c>
      <c r="P15" s="197">
        <f t="shared" si="2"/>
        <v>8077.9726630510713</v>
      </c>
      <c r="Q15" s="197">
        <f t="shared" si="2"/>
        <v>8539.9538948262343</v>
      </c>
      <c r="R15" s="197">
        <f t="shared" si="2"/>
        <v>9028.4248795421699</v>
      </c>
      <c r="S15" s="197">
        <f t="shared" si="2"/>
        <v>9544.9076891787954</v>
      </c>
      <c r="T15" s="197">
        <f t="shared" si="2"/>
        <v>10091.011997443255</v>
      </c>
      <c r="U15" s="197">
        <f t="shared" si="2"/>
        <v>10668.440128285565</v>
      </c>
      <c r="V15" s="197">
        <f t="shared" si="2"/>
        <v>11278.992395668189</v>
      </c>
      <c r="W15" s="197">
        <f t="shared" si="2"/>
        <v>11924.572751406498</v>
      </c>
      <c r="X15" s="197">
        <f t="shared" si="2"/>
        <v>12607.194758868489</v>
      </c>
      <c r="Y15" s="197">
        <f t="shared" si="2"/>
        <v>13328.987911350254</v>
      </c>
      <c r="Z15" s="197">
        <f t="shared" si="2"/>
        <v>14092.204315030634</v>
      </c>
    </row>
    <row r="16" spans="1:26" s="167" customFormat="1">
      <c r="A16" s="52"/>
      <c r="B16" s="162" t="s">
        <v>87</v>
      </c>
      <c r="C16" s="162"/>
      <c r="D16" s="162"/>
      <c r="E16" s="162"/>
      <c r="F16" s="162"/>
      <c r="G16" s="198">
        <v>1</v>
      </c>
      <c r="H16" s="199">
        <f>IF(H$2&lt;=$C$52,0,Sales!E5*H$3*(1+$C$51)^(H$2-$C$52-1))</f>
        <v>1831.362974583333</v>
      </c>
      <c r="I16" s="199">
        <f>IF(I$2&lt;=$C$52,0,Sales!F5*I$3*(1+$C$51)^(I$2-$C$52-1))</f>
        <v>2490.0937716096746</v>
      </c>
      <c r="J16" s="199">
        <f>IF(J$2&lt;=$C$52,0,Sales!G5*J$3*(1+$C$51)^(J$2-$C$52-1))</f>
        <v>2925.9708524756611</v>
      </c>
      <c r="K16" s="199">
        <f>IF(K$2&lt;=$C$52,0,Sales!H5*K$3*(1+$C$51)^(K$2-$C$52-1))</f>
        <v>3094.3312153271104</v>
      </c>
      <c r="L16" s="199">
        <f>IF(L$2&lt;=$C$52,0,Sales!I5*L$3*(1+$C$51)^(L$2-$C$52-1))</f>
        <v>3272.3790334570317</v>
      </c>
      <c r="M16" s="199">
        <f>IF(M$2&lt;=$C$52,0,Sales!J5*M$3*(1+$C$51)^(M$2-$C$52-1))</f>
        <v>3460.6717230421491</v>
      </c>
      <c r="N16" s="199">
        <f>IF(N$2&lt;=$C$52,0,Sales!K5*N$3*(1+$C$51)^(N$2-$C$52-1))</f>
        <v>3659.7987739859932</v>
      </c>
      <c r="O16" s="199">
        <f>IF(O$2&lt;=$C$52,0,Sales!L5*O$3*(1+$C$51)^(O$2-$C$52-1))</f>
        <v>3870.3835954411475</v>
      </c>
      <c r="P16" s="199">
        <f>IF(P$2&lt;=$C$52,0,Sales!M5*P$3*(1+$C$51)^(P$2-$C$52-1))</f>
        <v>4093.0854675228293</v>
      </c>
      <c r="Q16" s="199">
        <f>IF(Q$2&lt;=$C$52,0,Sales!N5*Q$3*(1+$C$51)^(Q$2-$C$52-1))</f>
        <v>4328.6016053240928</v>
      </c>
      <c r="R16" s="199">
        <f>IF(R$2&lt;=$C$52,0,Sales!O5*R$3*(1+$C$51)^(R$2-$C$52-1))</f>
        <v>4577.6693416944408</v>
      </c>
      <c r="S16" s="199">
        <f>IF(S$2&lt;=$C$52,0,Sales!P5*S$3*(1+$C$51)^(S$2-$C$52-1))</f>
        <v>4841.0684356155389</v>
      </c>
      <c r="T16" s="199">
        <f>IF(T$2&lt;=$C$52,0,Sales!Q5*T$3*(1+$C$51)^(T$2-$C$52-1))</f>
        <v>5119.6235134008557</v>
      </c>
      <c r="U16" s="199">
        <f>IF(U$2&lt;=$C$52,0,Sales!R5*U$3*(1+$C$51)^(U$2-$C$52-1))</f>
        <v>5414.2066503619417</v>
      </c>
      <c r="V16" s="199">
        <f>IF(V$2&lt;=$C$52,0,Sales!S5*V$3*(1+$C$51)^(V$2-$C$52-1))</f>
        <v>5725.7401010237663</v>
      </c>
      <c r="W16" s="199">
        <f>IF(W$2&lt;=$C$52,0,Sales!T5*W$3*(1+$C$51)^(W$2-$C$52-1))</f>
        <v>6055.1991864366746</v>
      </c>
      <c r="X16" s="199">
        <f>IF(X$2&lt;=$C$52,0,Sales!U5*X$3*(1+$C$51)^(X$2-$C$52-1))</f>
        <v>6403.615347624238</v>
      </c>
      <c r="Y16" s="199">
        <f>IF(Y$2&lt;=$C$52,0,Sales!V5*Y$3*(1+$C$51)^(Y$2-$C$52-1))</f>
        <v>6772.0793747265361</v>
      </c>
      <c r="Z16" s="199">
        <f>IF(Z$2&lt;=$C$52,0,Sales!W5*Z$3*(1+$C$51)^(Z$2-$C$52-1))</f>
        <v>7161.7448219482994</v>
      </c>
    </row>
    <row r="17" spans="1:27">
      <c r="A17" s="52"/>
      <c r="B17" s="162" t="s">
        <v>455</v>
      </c>
      <c r="C17" s="162"/>
      <c r="D17" s="162"/>
      <c r="E17" s="162"/>
      <c r="F17" s="162"/>
      <c r="G17" s="201"/>
      <c r="H17" s="202">
        <f>'Cashflow Phenol Option 1-Ethane'!H11</f>
        <v>1386.6910392857144</v>
      </c>
      <c r="I17" s="202">
        <f>'Cashflow Phenol Option 1-Ethane'!I11</f>
        <v>1631.0337042469644</v>
      </c>
      <c r="J17" s="202">
        <f>'Cashflow Phenol Option 1-Ethane'!J11</f>
        <v>1726.5878138102726</v>
      </c>
      <c r="K17" s="202">
        <f>'Cashflow Phenol Option 1-Ethane'!K11</f>
        <v>1827.7399608823475</v>
      </c>
      <c r="L17" s="202">
        <f>'Cashflow Phenol Option 1-Ethane'!L11</f>
        <v>1934.8181064906394</v>
      </c>
      <c r="M17" s="202">
        <f>'Cashflow Phenol Option 1-Ethane'!M11</f>
        <v>2048.1694252593934</v>
      </c>
      <c r="N17" s="202">
        <f>'Cashflow Phenol Option 1-Ethane'!N11</f>
        <v>2168.1614310382142</v>
      </c>
      <c r="O17" s="202">
        <f>'Cashflow Phenol Option 1-Ethane'!O11</f>
        <v>2295.1831684755884</v>
      </c>
      <c r="P17" s="202">
        <f>'Cashflow Phenol Option 1-Ethane'!P11</f>
        <v>2429.6464744007299</v>
      </c>
      <c r="Q17" s="202">
        <f>'Cashflow Phenol Option 1-Ethane'!Q11</f>
        <v>2571.9873131034965</v>
      </c>
      <c r="R17" s="202">
        <f>'Cashflow Phenol Option 1-Ethane'!R11</f>
        <v>2722.6671898416648</v>
      </c>
      <c r="S17" s="202">
        <f>'Cashflow Phenol Option 1-Ethane'!S11</f>
        <v>2882.1746471585388</v>
      </c>
      <c r="T17" s="202">
        <f>'Cashflow Phenol Option 1-Ethane'!T11</f>
        <v>3051.026848862321</v>
      </c>
      <c r="U17" s="202">
        <f>'Cashflow Phenol Option 1-Ethane'!U11</f>
        <v>3229.7712568029201</v>
      </c>
      <c r="V17" s="202">
        <f>'Cashflow Phenol Option 1-Ethane'!V11</f>
        <v>3418.9874058827181</v>
      </c>
      <c r="W17" s="202">
        <f>'Cashflow Phenol Option 1-Ethane'!W11</f>
        <v>3619.2887830563573</v>
      </c>
      <c r="X17" s="202">
        <f>'Cashflow Phenol Option 1-Ethane'!X11</f>
        <v>3831.3248164117126</v>
      </c>
      <c r="Y17" s="202">
        <f>'Cashflow Phenol Option 1-Ethane'!Y11</f>
        <v>4055.7829807811931</v>
      </c>
      <c r="Z17" s="202">
        <f>'Cashflow Phenol Option 1-Ethane'!Z11</f>
        <v>4293.3910267102583</v>
      </c>
      <c r="AA17" s="202"/>
    </row>
    <row r="18" spans="1:27">
      <c r="A18" s="52"/>
      <c r="B18" s="162" t="s">
        <v>456</v>
      </c>
      <c r="C18" s="162"/>
      <c r="D18" s="162"/>
      <c r="E18" s="162"/>
      <c r="F18" s="162"/>
      <c r="G18" s="201"/>
      <c r="H18" s="202">
        <f>'Cashflow Phenol Option 1-Ethane'!H12</f>
        <v>648.5918912236607</v>
      </c>
      <c r="I18" s="202">
        <f>'Cashflow Phenol Option 1-Ethane'!I12</f>
        <v>762.12429849407783</v>
      </c>
      <c r="J18" s="202">
        <f>'Cashflow Phenol Option 1-Ethane'!J12</f>
        <v>805.97693062942699</v>
      </c>
      <c r="K18" s="202">
        <f>'Cashflow Phenol Option 1-Ethane'!K12</f>
        <v>852.35284321784422</v>
      </c>
      <c r="L18" s="202">
        <f>'Cashflow Phenol Option 1-Ethane'!L12</f>
        <v>901.39722581659873</v>
      </c>
      <c r="M18" s="202">
        <f>'Cashflow Phenol Option 1-Ethane'!M12</f>
        <v>953.26362219008581</v>
      </c>
      <c r="N18" s="202">
        <f>'Cashflow Phenol Option 1-Ethane'!N12</f>
        <v>1008.1144110109032</v>
      </c>
      <c r="O18" s="202">
        <f>'Cashflow Phenol Option 1-Ethane'!O12</f>
        <v>1066.1213142204706</v>
      </c>
      <c r="P18" s="202">
        <f>'Cashflow Phenol Option 1-Ethane'!P12</f>
        <v>1127.4659346407161</v>
      </c>
      <c r="Q18" s="202">
        <f>'Cashflow Phenol Option 1-Ethane'!Q12</f>
        <v>1192.3403245199427</v>
      </c>
      <c r="R18" s="202">
        <f>'Cashflow Phenol Option 1-Ethane'!R12</f>
        <v>1260.9475867928199</v>
      </c>
      <c r="S18" s="202">
        <f>'Cashflow Phenol Option 1-Ethane'!S12</f>
        <v>1333.5025109368789</v>
      </c>
      <c r="T18" s="202">
        <f>'Cashflow Phenol Option 1-Ethane'!T12</f>
        <v>1410.2322454161865</v>
      </c>
      <c r="U18" s="202">
        <f>'Cashflow Phenol Option 1-Ethane'!U12</f>
        <v>1491.3770088174342</v>
      </c>
      <c r="V18" s="202">
        <f>'Cashflow Phenol Option 1-Ethane'!V12</f>
        <v>1577.1908419047888</v>
      </c>
      <c r="W18" s="202">
        <f>'Cashflow Phenol Option 1-Ethane'!W12</f>
        <v>1667.9424029479906</v>
      </c>
      <c r="X18" s="202">
        <f>'Cashflow Phenol Option 1-Ethane'!X12</f>
        <v>1763.9158088136171</v>
      </c>
      <c r="Y18" s="202">
        <f>'Cashflow Phenol Option 1-Ethane'!Y12</f>
        <v>1865.4115244527527</v>
      </c>
      <c r="Z18" s="202">
        <f>'Cashflow Phenol Option 1-Ethane'!Z12</f>
        <v>1972.7473035697635</v>
      </c>
      <c r="AA18" s="202"/>
    </row>
    <row r="19" spans="1:27">
      <c r="A19" s="603"/>
      <c r="B19" s="17" t="s">
        <v>507</v>
      </c>
      <c r="C19" s="558"/>
      <c r="D19" s="558"/>
      <c r="E19" s="558"/>
      <c r="F19" s="558"/>
      <c r="G19" s="604"/>
      <c r="H19" s="199">
        <f>IF(H$2&lt;=$C$52,0,'Net Change in Margin'!$D$46*H$3*(1+$C$51)^(H$2-$C$52-1))</f>
        <v>210.56340728485574</v>
      </c>
      <c r="I19" s="199">
        <f>IF(I$2&lt;=$C$52,0,'Net Change in Margin'!$D$46*I$3*(1+$C$51)^(I$2-$C$52-1))</f>
        <v>282.90697793058115</v>
      </c>
      <c r="J19" s="199">
        <f>IF(J$2&lt;=$C$52,0,'Net Change in Margin'!$D$46*J$3*(1+$C$51)^(J$2-$C$52-1))</f>
        <v>328.48643548606367</v>
      </c>
      <c r="K19" s="199">
        <f>IF(K$2&lt;=$C$52,0,'Net Change in Margin'!$D$46*K$3*(1+$C$51)^(K$2-$C$52-1))</f>
        <v>343.26832508293654</v>
      </c>
      <c r="L19" s="199">
        <f>IF(L$2&lt;=$C$52,0,'Net Change in Margin'!$D$46*L$3*(1+$C$51)^(L$2-$C$52-1))</f>
        <v>358.71539971166857</v>
      </c>
      <c r="M19" s="199">
        <f>IF(M$2&lt;=$C$52,0,'Net Change in Margin'!$D$46*M$3*(1+$C$51)^(M$2-$C$52-1))</f>
        <v>374.85759269869368</v>
      </c>
      <c r="N19" s="199">
        <f>IF(N$2&lt;=$C$52,0,'Net Change in Margin'!$D$46*N$3*(1+$C$51)^(N$2-$C$52-1))</f>
        <v>391.72618437013477</v>
      </c>
      <c r="O19" s="199">
        <f>IF(O$2&lt;=$C$52,0,'Net Change in Margin'!$D$46*O$3*(1+$C$51)^(O$2-$C$52-1))</f>
        <v>409.35386266679086</v>
      </c>
      <c r="P19" s="199">
        <f>IF(P$2&lt;=$C$52,0,'Net Change in Margin'!$D$46*P$3*(1+$C$51)^(P$2-$C$52-1))</f>
        <v>427.7747864867963</v>
      </c>
      <c r="Q19" s="199">
        <f>IF(Q$2&lt;=$C$52,0,'Net Change in Margin'!$D$46*Q$3*(1+$C$51)^(Q$2-$C$52-1))</f>
        <v>447.02465187870212</v>
      </c>
      <c r="R19" s="199">
        <f>IF(R$2&lt;=$C$52,0,'Net Change in Margin'!$D$46*R$3*(1+$C$51)^(R$2-$C$52-1))</f>
        <v>467.14076121324365</v>
      </c>
      <c r="S19" s="199">
        <f>IF(S$2&lt;=$C$52,0,'Net Change in Margin'!$D$46*S$3*(1+$C$51)^(S$2-$C$52-1))</f>
        <v>488.16209546783961</v>
      </c>
      <c r="T19" s="199">
        <f>IF(T$2&lt;=$C$52,0,'Net Change in Margin'!$D$46*T$3*(1+$C$51)^(T$2-$C$52-1))</f>
        <v>510.12938976389228</v>
      </c>
      <c r="U19" s="199">
        <f>IF(U$2&lt;=$C$52,0,'Net Change in Margin'!$D$46*U$3*(1+$C$51)^(U$2-$C$52-1))</f>
        <v>533.08521230326744</v>
      </c>
      <c r="V19" s="199">
        <f>IF(V$2&lt;=$C$52,0,'Net Change in Margin'!$D$46*V$3*(1+$C$51)^(V$2-$C$52-1))</f>
        <v>557.07404685691438</v>
      </c>
      <c r="W19" s="199">
        <f>IF(W$2&lt;=$C$52,0,'Net Change in Margin'!$D$46*W$3*(1+$C$51)^(W$2-$C$52-1))</f>
        <v>582.14237896547559</v>
      </c>
      <c r="X19" s="199">
        <f>IF(X$2&lt;=$C$52,0,'Net Change in Margin'!$D$46*X$3*(1+$C$51)^(X$2-$C$52-1))</f>
        <v>608.33878601892172</v>
      </c>
      <c r="Y19" s="199">
        <f>IF(Y$2&lt;=$C$52,0,'Net Change in Margin'!$D$46*Y$3*(1+$C$51)^(Y$2-$C$52-1))</f>
        <v>635.71403138977325</v>
      </c>
      <c r="Z19" s="199">
        <f>IF(Z$2&lt;=$C$52,0,'Net Change in Margin'!$D$46*Z$3*(1+$C$51)^(Z$2-$C$52-1))</f>
        <v>664.32116280231287</v>
      </c>
    </row>
    <row r="20" spans="1:27">
      <c r="A20" s="52"/>
      <c r="B20" s="17"/>
      <c r="C20" s="17"/>
      <c r="D20" s="17"/>
      <c r="E20" s="17"/>
      <c r="F20" s="17"/>
      <c r="G20" s="201"/>
      <c r="H20" s="199"/>
      <c r="I20" s="199"/>
      <c r="J20" s="199"/>
      <c r="K20" s="199"/>
      <c r="L20" s="199"/>
      <c r="M20" s="199"/>
      <c r="N20" s="199"/>
      <c r="O20" s="199"/>
      <c r="P20" s="199"/>
      <c r="Q20" s="199"/>
    </row>
    <row r="21" spans="1:27">
      <c r="A21" s="194">
        <v>3</v>
      </c>
      <c r="B21" s="195" t="s">
        <v>107</v>
      </c>
      <c r="C21" s="195"/>
      <c r="D21" s="195"/>
      <c r="E21" s="195"/>
      <c r="F21" s="195"/>
      <c r="G21" s="207"/>
      <c r="H21" s="183"/>
      <c r="I21" s="183"/>
      <c r="J21" s="183"/>
      <c r="K21" s="183"/>
      <c r="L21" s="183"/>
      <c r="M21" s="183"/>
      <c r="N21" s="183"/>
      <c r="O21" s="183"/>
      <c r="P21" s="183"/>
      <c r="Q21" s="183"/>
      <c r="R21" s="186"/>
      <c r="S21" s="186"/>
      <c r="T21" s="186"/>
      <c r="U21" s="186"/>
      <c r="V21" s="186"/>
      <c r="W21" s="186"/>
      <c r="X21" s="186"/>
      <c r="Y21" s="186"/>
      <c r="Z21" s="186"/>
    </row>
    <row r="22" spans="1:27">
      <c r="A22" s="52"/>
      <c r="B22" s="17" t="s">
        <v>12</v>
      </c>
      <c r="C22" s="17"/>
      <c r="D22" s="17"/>
      <c r="E22" s="17"/>
      <c r="F22" s="263"/>
      <c r="G22" s="208">
        <f t="shared" ref="G22:G27" si="3">J22/$J$28</f>
        <v>0.73363418636809186</v>
      </c>
      <c r="H22" s="199">
        <f>IF(H$2&lt;=$C$52,0,'Opex PVC'!E64*H$3*(1+$C$51)^(H$2-$C$52-1))+'Cashflow Phenol Option 1-Ethane'!H14</f>
        <v>1804.8650207510082</v>
      </c>
      <c r="I22" s="199">
        <f>IF(I$2&lt;=$C$52,0,'Opex PVC'!F64*I$3*(1+$C$51)^(I$2-$C$52-1))+'Cashflow Phenol Option 1-Ethane'!I14</f>
        <v>2221.7963958040978</v>
      </c>
      <c r="J22" s="199">
        <f>IF(J$2&lt;=$C$52,0,'Opex PVC'!G64*J$3*(1+$C$51)^(J$2-$C$52-1))+'Cashflow Phenol Option 1-Ethane'!J14</f>
        <v>2438.7908600858559</v>
      </c>
      <c r="K22" s="199">
        <f>IF(K$2&lt;=$C$52,0,'Opex PVC'!H64*K$3*(1+$C$51)^(K$2-$C$52-1))+'Cashflow Phenol Option 1-Ethane'!K14</f>
        <v>2581.5607310987052</v>
      </c>
      <c r="L22" s="199">
        <f>IF(L$2&lt;=$C$52,0,'Opex PVC'!I64*L$3*(1+$C$51)^(L$2-$C$52-1))+'Cashflow Phenol Option 1-Ethane'!L14</f>
        <v>2730.1996332826375</v>
      </c>
      <c r="M22" s="199">
        <f>IF(M$2&lt;=$C$52,0,'Opex PVC'!J64*M$3*(1+$C$51)^(M$2-$C$52-1))+'Cashflow Phenol Option 1-Ethane'!M14</f>
        <v>2888.7152798757797</v>
      </c>
      <c r="N22" s="199">
        <f>IF(N$2&lt;=$C$52,0,'Opex PVC'!K64*N$3*(1+$C$51)^(N$2-$C$52-1))+'Cashflow Phenol Option 1-Ethane'!N14</f>
        <v>3056.1134683180303</v>
      </c>
      <c r="O22" s="199">
        <f>IF(O$2&lt;=$C$52,0,'Opex PVC'!L64*O$3*(1+$C$51)^(O$2-$C$52-1))+'Cashflow Phenol Option 1-Ethane'!O14</f>
        <v>3233.667946660521</v>
      </c>
      <c r="P22" s="199">
        <f>IF(P$2&lt;=$C$52,0,'Opex PVC'!M64*P$3*(1+$C$51)^(P$2-$C$52-1))+'Cashflow Phenol Option 1-Ethane'!P14</f>
        <v>3423.3462594961311</v>
      </c>
      <c r="Q22" s="199">
        <f>IF(Q$2&lt;=$C$52,0,'Opex PVC'!N64*Q$3*(1+$C$51)^(Q$2-$C$52-1))+'Cashflow Phenol Option 1-Ethane'!Q14</f>
        <v>3618.2817197737786</v>
      </c>
      <c r="R22" s="199">
        <f>IF(R$2&lt;=$C$52,0,'Opex PVC'!O64*R$3*(1+$C$51)^(R$2-$C$52-1))+'Cashflow Phenol Option 1-Ethane'!R14</f>
        <v>3825.3986143411662</v>
      </c>
      <c r="S22" s="199">
        <f>IF(S$2&lt;=$C$52,0,'Opex PVC'!P64*S$3*(1+$C$51)^(S$2-$C$52-1))+'Cashflow Phenol Option 1-Ethane'!S14</f>
        <v>4044.7994123463577</v>
      </c>
      <c r="T22" s="199">
        <f>IF(T$2&lt;=$C$52,0,'Opex PVC'!Q64*T$3*(1+$C$51)^(T$2-$C$52-1))+'Cashflow Phenol Option 1-Ethane'!T14</f>
        <v>4275.2773571841144</v>
      </c>
      <c r="U22" s="199">
        <f>IF(U$2&lt;=$C$52,0,'Opex PVC'!R64*U$3*(1+$C$51)^(U$2-$C$52-1))+'Cashflow Phenol Option 1-Ethane'!U14</f>
        <v>4518.5723421316725</v>
      </c>
      <c r="V22" s="199">
        <f>IF(V$2&lt;=$C$52,0,'Opex PVC'!S64*V$3*(1+$C$51)^(V$2-$C$52-1))+'Cashflow Phenol Option 1-Ethane'!V14</f>
        <v>4775.5477516180235</v>
      </c>
      <c r="W22" s="199">
        <f>IF(W$2&lt;=$C$52,0,'Opex PVC'!T64*W$3*(1+$C$51)^(W$2-$C$52-1))+'Cashflow Phenol Option 1-Ethane'!W14</f>
        <v>5049.4462376443225</v>
      </c>
      <c r="X22" s="199">
        <f>IF(X$2&lt;=$C$52,0,'Opex PVC'!U64*X$3*(1+$C$51)^(X$2-$C$52-1))+'Cashflow Phenol Option 1-Ethane'!X14</f>
        <v>5339.6165423914108</v>
      </c>
      <c r="Y22" s="199">
        <f>IF(Y$2&lt;=$C$52,0,'Opex PVC'!V64*Y$3*(1+$C$51)^(Y$2-$C$52-1))+'Cashflow Phenol Option 1-Ethane'!Y14</f>
        <v>5647.8488813581007</v>
      </c>
      <c r="Z22" s="199">
        <f>IF(Z$2&lt;=$C$52,0,'Opex PVC'!W64*Z$3*(1+$C$51)^(Z$2-$C$52-1))+'Cashflow Phenol Option 1-Ethane'!Z14</f>
        <v>5971.7777743679471</v>
      </c>
    </row>
    <row r="23" spans="1:27">
      <c r="A23" s="52"/>
      <c r="B23" s="17" t="s">
        <v>14</v>
      </c>
      <c r="C23" s="17"/>
      <c r="D23" s="17"/>
      <c r="E23" s="17"/>
      <c r="F23" s="894"/>
      <c r="G23" s="208">
        <f t="shared" si="3"/>
        <v>4.4973020559111565E-2</v>
      </c>
      <c r="H23" s="199">
        <f>IF(H$2&lt;=$C$52,0,'Opex PVC'!E68*H$3*(1+$C$51)^(H$2-$C$52-1))</f>
        <v>92.910999999999987</v>
      </c>
      <c r="I23" s="199">
        <f>IF(I$2&lt;=$C$52,0,'Opex PVC'!F68*I$3*(1+$C$51)^(I$2-$C$52-1))</f>
        <v>126.76746975749997</v>
      </c>
      <c r="J23" s="886">
        <f>IF(J$2&lt;=$C$52,0,'Opex PVC'!G68*J$3*(1+$C$51)^(J$2-$C$52-1))</f>
        <v>149.50201821018209</v>
      </c>
      <c r="K23" s="199">
        <f>IF(K$2&lt;=$C$52,0,'Opex PVC'!H68*K$3*(1+$C$51)^(K$2-$C$52-1))</f>
        <v>158.46369243876413</v>
      </c>
      <c r="L23" s="199">
        <f>IF(L$2&lt;=$C$52,0,'Opex PVC'!I68*L$3*(1+$C$51)^(L$2-$C$52-1))</f>
        <v>167.91288241888759</v>
      </c>
      <c r="M23" s="199">
        <f>IF(M$2&lt;=$C$52,0,'Opex PVC'!J68*M$3*(1+$C$51)^(M$2-$C$52-1))</f>
        <v>177.8202462202492</v>
      </c>
      <c r="N23" s="199">
        <f>IF(N$2&lt;=$C$52,0,'Opex PVC'!K68*N$3*(1+$C$51)^(N$2-$C$52-1))</f>
        <v>188.31217420798251</v>
      </c>
      <c r="O23" s="199">
        <f>IF(O$2&lt;=$C$52,0,'Opex PVC'!L68*O$3*(1+$C$51)^(O$2-$C$52-1))</f>
        <v>199.42315742277611</v>
      </c>
      <c r="P23" s="199">
        <f>IF(P$2&lt;=$C$52,0,'Opex PVC'!M68*P$3*(1+$C$51)^(P$2-$C$52-1))</f>
        <v>211.18972198019213</v>
      </c>
      <c r="Q23" s="199">
        <f>IF(Q$2&lt;=$C$52,0,'Opex PVC'!N68*Q$3*(1+$C$51)^(Q$2-$C$52-1))</f>
        <v>223.65054914618941</v>
      </c>
      <c r="R23" s="199">
        <f>IF(R$2&lt;=$C$52,0,'Opex PVC'!O68*R$3*(1+$C$51)^(R$2-$C$52-1))</f>
        <v>236.84660249746196</v>
      </c>
      <c r="S23" s="199">
        <f>IF(S$2&lt;=$C$52,0,'Opex PVC'!P68*S$3*(1+$C$51)^(S$2-$C$52-1))</f>
        <v>250.82126258461975</v>
      </c>
      <c r="T23" s="199">
        <f>IF(T$2&lt;=$C$52,0,'Opex PVC'!Q68*T$3*(1+$C$51)^(T$2-$C$52-1))</f>
        <v>265.62046954089999</v>
      </c>
      <c r="U23" s="199">
        <f>IF(U$2&lt;=$C$52,0,'Opex PVC'!R68*U$3*(1+$C$51)^(U$2-$C$52-1))</f>
        <v>281.29287410522176</v>
      </c>
      <c r="V23" s="199">
        <f>IF(V$2&lt;=$C$52,0,'Opex PVC'!S68*V$3*(1+$C$51)^(V$2-$C$52-1))</f>
        <v>297.88999755605204</v>
      </c>
      <c r="W23" s="199">
        <f>IF(W$2&lt;=$C$52,0,'Opex PVC'!T68*W$3*(1+$C$51)^(W$2-$C$52-1))</f>
        <v>315.46640108185181</v>
      </c>
      <c r="X23" s="199">
        <f>IF(X$2&lt;=$C$52,0,'Opex PVC'!U68*X$3*(1+$C$51)^(X$2-$C$52-1))</f>
        <v>334.07986514488414</v>
      </c>
      <c r="Y23" s="199">
        <f>IF(Y$2&lt;=$C$52,0,'Opex PVC'!V68*Y$3*(1+$C$51)^(Y$2-$C$52-1))</f>
        <v>353.79157942802772</v>
      </c>
      <c r="Z23" s="199">
        <f>IF(Z$2&lt;=$C$52,0,'Opex PVC'!W68*Z$3*(1+$C$51)^(Z$2-$C$52-1))</f>
        <v>374.66634398901959</v>
      </c>
    </row>
    <row r="24" spans="1:27">
      <c r="A24" s="52"/>
      <c r="B24" s="17" t="s">
        <v>15</v>
      </c>
      <c r="C24" s="17"/>
      <c r="D24" s="17"/>
      <c r="E24" s="17"/>
      <c r="F24" s="894"/>
      <c r="G24" s="208">
        <f t="shared" si="3"/>
        <v>1.7679959924632876E-2</v>
      </c>
      <c r="H24" s="199">
        <f>IF(H$2&lt;=$C$52,0,'Opex PVC'!$E$69*(1+$C$51)^(H$2-$C$52-1))+'Cashflow Phenol Option 1-Ethane'!H15</f>
        <v>53.82</v>
      </c>
      <c r="I24" s="199">
        <f>IF(I$2&lt;=$C$52,0,'Opex PVC'!$E$69*(1+$C$51)^(I$2-$C$52-1))+'Cashflow Phenol Option 1-Ethane'!I15</f>
        <v>56.241899999999994</v>
      </c>
      <c r="J24" s="199">
        <f>IF(J$2&lt;=$C$52,0,'Opex PVC'!$E$69*(1+$C$51)^(J$2-$C$52-1))+'Cashflow Phenol Option 1-Ethane'!J15</f>
        <v>58.772785499999991</v>
      </c>
      <c r="K24" s="199">
        <f>IF(K$2&lt;=$C$52,0,'Opex PVC'!$E$69*(1+$C$51)^(K$2-$C$52-1))+'Cashflow Phenol Option 1-Ethane'!K15</f>
        <v>61.417560847499992</v>
      </c>
      <c r="L24" s="199">
        <f>IF(L$2&lt;=$C$52,0,'Opex PVC'!$E$69*(1+$C$51)^(L$2-$C$52-1))+'Cashflow Phenol Option 1-Ethane'!L15</f>
        <v>64.181351085637473</v>
      </c>
      <c r="M24" s="199">
        <f>IF(M$2&lt;=$C$52,0,'Opex PVC'!$E$69*(1+$C$51)^(M$2-$C$52-1))+'Cashflow Phenol Option 1-Ethane'!M15</f>
        <v>67.069511884491163</v>
      </c>
      <c r="N24" s="199">
        <f>IF(N$2&lt;=$C$52,0,'Opex PVC'!$E$69*(1+$C$51)^(N$2-$C$52-1))+'Cashflow Phenol Option 1-Ethane'!N15</f>
        <v>70.087639919293238</v>
      </c>
      <c r="O24" s="199">
        <f>IF(O$2&lt;=$C$52,0,'Opex PVC'!$E$69*(1+$C$51)^(O$2-$C$52-1))+'Cashflow Phenol Option 1-Ethane'!O15</f>
        <v>73.241583715661449</v>
      </c>
      <c r="P24" s="199">
        <f>IF(P$2&lt;=$C$52,0,'Opex PVC'!$E$69*(1+$C$51)^(P$2-$C$52-1))+'Cashflow Phenol Option 1-Ethane'!P15</f>
        <v>76.53745498286618</v>
      </c>
      <c r="Q24" s="199">
        <f>IF(Q$2&lt;=$C$52,0,'Opex PVC'!$E$69*(1+$C$51)^(Q$2-$C$52-1))+'Cashflow Phenol Option 1-Ethane'!Q15</f>
        <v>79.981640457095153</v>
      </c>
      <c r="R24" s="199">
        <f>IF(R$2&lt;=$C$52,0,'Opex PVC'!$E$69*(1+$C$51)^(R$2-$C$52-1))+'Cashflow Phenol Option 1-Ethane'!R15</f>
        <v>83.58081427766443</v>
      </c>
      <c r="S24" s="199">
        <f>IF(S$2&lt;=$C$52,0,'Opex PVC'!$E$69*(1+$C$51)^(S$2-$C$52-1))+'Cashflow Phenol Option 1-Ethane'!S15</f>
        <v>87.34195092015932</v>
      </c>
      <c r="T24" s="199">
        <f>IF(T$2&lt;=$C$52,0,'Opex PVC'!$E$69*(1+$C$51)^(T$2-$C$52-1))+'Cashflow Phenol Option 1-Ethane'!T15</f>
        <v>91.272338711566476</v>
      </c>
      <c r="U24" s="199">
        <f>IF(U$2&lt;=$C$52,0,'Opex PVC'!$E$69*(1+$C$51)^(U$2-$C$52-1))+'Cashflow Phenol Option 1-Ethane'!U15</f>
        <v>95.379593953586976</v>
      </c>
      <c r="V24" s="199">
        <f>IF(V$2&lt;=$C$52,0,'Opex PVC'!$E$69*(1+$C$51)^(V$2-$C$52-1))+'Cashflow Phenol Option 1-Ethane'!V15</f>
        <v>99.671675681498357</v>
      </c>
      <c r="W24" s="199">
        <f>IF(W$2&lt;=$C$52,0,'Opex PVC'!$E$69*(1+$C$51)^(W$2-$C$52-1))+'Cashflow Phenol Option 1-Ethane'!W15</f>
        <v>104.15690108716579</v>
      </c>
      <c r="X24" s="199">
        <f>IF(X$2&lt;=$C$52,0,'Opex PVC'!$E$69*(1+$C$51)^(X$2-$C$52-1))+'Cashflow Phenol Option 1-Ethane'!X15</f>
        <v>108.84396163608821</v>
      </c>
      <c r="Y24" s="199">
        <f>IF(Y$2&lt;=$C$52,0,'Opex PVC'!$E$69*(1+$C$51)^(Y$2-$C$52-1))+'Cashflow Phenol Option 1-Ethane'!Y15</f>
        <v>113.74193990971219</v>
      </c>
      <c r="Z24" s="199">
        <f>IF(Z$2&lt;=$C$52,0,'Opex PVC'!$E$69*(1+$C$51)^(Z$2-$C$52-1))+'Cashflow Phenol Option 1-Ethane'!Z15</f>
        <v>118.86032720564921</v>
      </c>
    </row>
    <row r="25" spans="1:27">
      <c r="A25" s="52"/>
      <c r="B25" s="17" t="s">
        <v>17</v>
      </c>
      <c r="C25" s="17"/>
      <c r="D25" s="17"/>
      <c r="E25" s="17"/>
      <c r="F25" s="17"/>
      <c r="G25" s="208">
        <f t="shared" si="3"/>
        <v>0.11703690991036507</v>
      </c>
      <c r="H25" s="199">
        <f>IF(H$2&lt;=$C$52,0,'Opex PVC'!$E$71*(1+$C$51)^(H$2-$C$52-1))+'Cashflow Phenol Option 1-Ethane'!H16</f>
        <v>336.36743734740003</v>
      </c>
      <c r="I25" s="199">
        <f>IF(I$2&lt;=$C$52,0,'Opex PVC'!$E$71*(1+$C$51)^(I$2-$C$52-1))+'Cashflow Phenol Option 1-Ethane'!I16</f>
        <v>372.30730225336998</v>
      </c>
      <c r="J25" s="199">
        <f>IF(J$2&lt;=$C$52,0,'Opex PVC'!$E$71*(1+$C$51)^(J$2-$C$52-1))+'Cashflow Phenol Option 1-Ethane'!J16</f>
        <v>389.06113085477159</v>
      </c>
      <c r="K25" s="199">
        <f>IF(K$2&lt;=$C$52,0,'Opex PVC'!$E$71*(1+$C$51)^(K$2-$C$52-1))+'Cashflow Phenol Option 1-Ethane'!K16</f>
        <v>406.56888174323637</v>
      </c>
      <c r="L25" s="199">
        <f>IF(L$2&lt;=$C$52,0,'Opex PVC'!$E$71*(1+$C$51)^(L$2-$C$52-1))+'Cashflow Phenol Option 1-Ethane'!L16</f>
        <v>424.86448142168183</v>
      </c>
      <c r="M25" s="199">
        <f>IF(M$2&lt;=$C$52,0,'Opex PVC'!$E$71*(1+$C$51)^(M$2-$C$52-1))+'Cashflow Phenol Option 1-Ethane'!M16</f>
        <v>443.98338308565752</v>
      </c>
      <c r="N25" s="199">
        <f>IF(N$2&lt;=$C$52,0,'Opex PVC'!$E$71*(1+$C$51)^(N$2-$C$52-1))+'Cashflow Phenol Option 1-Ethane'!N16</f>
        <v>463.96263532451201</v>
      </c>
      <c r="O25" s="199">
        <f>IF(O$2&lt;=$C$52,0,'Opex PVC'!$E$71*(1+$C$51)^(O$2-$C$52-1))+'Cashflow Phenol Option 1-Ethane'!O16</f>
        <v>484.84095391411512</v>
      </c>
      <c r="P25" s="199">
        <f>IF(P$2&lt;=$C$52,0,'Opex PVC'!$E$71*(1+$C$51)^(P$2-$C$52-1))+'Cashflow Phenol Option 1-Ethane'!P16</f>
        <v>506.65879684025015</v>
      </c>
      <c r="Q25" s="199">
        <f>IF(Q$2&lt;=$C$52,0,'Opex PVC'!$E$71*(1+$C$51)^(Q$2-$C$52-1))+'Cashflow Phenol Option 1-Ethane'!Q16</f>
        <v>529.45844269806139</v>
      </c>
      <c r="R25" s="199">
        <f>IF(R$2&lt;=$C$52,0,'Opex PVC'!$E$71*(1+$C$51)^(R$2-$C$52-1))+'Cashflow Phenol Option 1-Ethane'!R16</f>
        <v>553.28407261947405</v>
      </c>
      <c r="S25" s="199">
        <f>IF(S$2&lt;=$C$52,0,'Opex PVC'!$E$71*(1+$C$51)^(S$2-$C$52-1))+'Cashflow Phenol Option 1-Ethane'!S16</f>
        <v>578.18185588735037</v>
      </c>
      <c r="T25" s="199">
        <f>IF(T$2&lt;=$C$52,0,'Opex PVC'!$E$71*(1+$C$51)^(T$2-$C$52-1))+'Cashflow Phenol Option 1-Ethane'!T16</f>
        <v>604.20003940228094</v>
      </c>
      <c r="U25" s="199">
        <f>IF(U$2&lt;=$C$52,0,'Opex PVC'!$E$71*(1+$C$51)^(U$2-$C$52-1))+'Cashflow Phenol Option 1-Ethane'!U16</f>
        <v>631.38904117538368</v>
      </c>
      <c r="V25" s="199">
        <f>IF(V$2&lt;=$C$52,0,'Opex PVC'!$E$71*(1+$C$51)^(V$2-$C$52-1))+'Cashflow Phenol Option 1-Ethane'!V16</f>
        <v>659.80154802827565</v>
      </c>
      <c r="W25" s="199">
        <f>IF(W$2&lt;=$C$52,0,'Opex PVC'!$E$71*(1+$C$51)^(W$2-$C$52-1))+'Cashflow Phenol Option 1-Ethane'!W16</f>
        <v>689.4926176895483</v>
      </c>
      <c r="X25" s="199">
        <f>IF(X$2&lt;=$C$52,0,'Opex PVC'!$E$71*(1+$C$51)^(X$2-$C$52-1))+'Cashflow Phenol Option 1-Ethane'!X16</f>
        <v>720.51978548557759</v>
      </c>
      <c r="Y25" s="199">
        <f>IF(Y$2&lt;=$C$52,0,'Opex PVC'!$E$71*(1+$C$51)^(Y$2-$C$52-1))+'Cashflow Phenol Option 1-Ethane'!Y16</f>
        <v>752.94317583242855</v>
      </c>
      <c r="Z25" s="199">
        <f>IF(Z$2&lt;=$C$52,0,'Opex PVC'!$E$71*(1+$C$51)^(Z$2-$C$52-1))+'Cashflow Phenol Option 1-Ethane'!Z16</f>
        <v>786.82561874488772</v>
      </c>
    </row>
    <row r="26" spans="1:27" s="167" customFormat="1">
      <c r="A26" s="52"/>
      <c r="B26" s="17" t="s">
        <v>20</v>
      </c>
      <c r="C26" s="17"/>
      <c r="D26" s="17"/>
      <c r="E26" s="17"/>
      <c r="F26" s="17"/>
      <c r="G26" s="208">
        <f t="shared" si="3"/>
        <v>3.2727804114553484E-2</v>
      </c>
      <c r="H26" s="199">
        <f>IF(H$2&lt;=$C$52,0,'Opex PVC'!$E$74*(1+$C$51)^(H$2-$C$52-1))+'Cashflow Phenol Option 1-Ethane'!H17</f>
        <v>96.573698443403998</v>
      </c>
      <c r="I26" s="199">
        <f>IF(I$2&lt;=$C$52,0,'Opex PVC'!$E$74*(1+$C$51)^(I$2-$C$52-1))+'Cashflow Phenol Option 1-Ethane'!I17</f>
        <v>104.11074991554466</v>
      </c>
      <c r="J26" s="199">
        <f>IF(J$2&lt;=$C$52,0,'Opex PVC'!$E$74*(1+$C$51)^(J$2-$C$52-1))+'Cashflow Phenol Option 1-Ethane'!J17</f>
        <v>108.79573366174417</v>
      </c>
      <c r="K26" s="199">
        <f>IF(K$2&lt;=$C$52,0,'Opex PVC'!$E$74*(1+$C$51)^(K$2-$C$52-1))+'Cashflow Phenol Option 1-Ethane'!K17</f>
        <v>113.69154167652266</v>
      </c>
      <c r="L26" s="199">
        <f>IF(L$2&lt;=$C$52,0,'Opex PVC'!$E$74*(1+$C$51)^(L$2-$C$52-1))+'Cashflow Phenol Option 1-Ethane'!L17</f>
        <v>118.80766105196614</v>
      </c>
      <c r="M26" s="199">
        <f>IF(M$2&lt;=$C$52,0,'Opex PVC'!$E$74*(1+$C$51)^(M$2-$C$52-1))+'Cashflow Phenol Option 1-Ethane'!M17</f>
        <v>124.15400579930463</v>
      </c>
      <c r="N26" s="199">
        <f>IF(N$2&lt;=$C$52,0,'Opex PVC'!$E$74*(1+$C$51)^(N$2-$C$52-1))+'Cashflow Phenol Option 1-Ethane'!N17</f>
        <v>129.7409360602733</v>
      </c>
      <c r="O26" s="199">
        <f>IF(O$2&lt;=$C$52,0,'Opex PVC'!$E$74*(1+$C$51)^(O$2-$C$52-1))+'Cashflow Phenol Option 1-Ethane'!O17</f>
        <v>135.5792781829856</v>
      </c>
      <c r="P26" s="199">
        <f>IF(P$2&lt;=$C$52,0,'Opex PVC'!$E$74*(1+$C$51)^(P$2-$C$52-1))+'Cashflow Phenol Option 1-Ethane'!P17</f>
        <v>141.68034570121992</v>
      </c>
      <c r="Q26" s="199">
        <f>IF(Q$2&lt;=$C$52,0,'Opex PVC'!$E$74*(1+$C$51)^(Q$2-$C$52-1))+'Cashflow Phenol Option 1-Ethane'!Q17</f>
        <v>148.05596125777478</v>
      </c>
      <c r="R26" s="199">
        <f>IF(R$2&lt;=$C$52,0,'Opex PVC'!$E$74*(1+$C$51)^(R$2-$C$52-1))+'Cashflow Phenol Option 1-Ethane'!R17</f>
        <v>154.71847951437462</v>
      </c>
      <c r="S26" s="199">
        <f>IF(S$2&lt;=$C$52,0,'Opex PVC'!$E$74*(1+$C$51)^(S$2-$C$52-1))+'Cashflow Phenol Option 1-Ethane'!S17</f>
        <v>161.68081109252148</v>
      </c>
      <c r="T26" s="199">
        <f>IF(T$2&lt;=$C$52,0,'Opex PVC'!$E$74*(1+$C$51)^(T$2-$C$52-1))+'Cashflow Phenol Option 1-Ethane'!T17</f>
        <v>168.95644759168493</v>
      </c>
      <c r="U26" s="199">
        <f>IF(U$2&lt;=$C$52,0,'Opex PVC'!$E$74*(1+$C$51)^(U$2-$C$52-1))+'Cashflow Phenol Option 1-Ethane'!U17</f>
        <v>176.55948773331076</v>
      </c>
      <c r="V26" s="199">
        <f>IF(V$2&lt;=$C$52,0,'Opex PVC'!$E$74*(1+$C$51)^(V$2-$C$52-1))+'Cashflow Phenol Option 1-Ethane'!V17</f>
        <v>184.50466468130969</v>
      </c>
      <c r="W26" s="199">
        <f>IF(W$2&lt;=$C$52,0,'Opex PVC'!$E$74*(1+$C$51)^(W$2-$C$52-1))+'Cashflow Phenol Option 1-Ethane'!W17</f>
        <v>192.80737459196865</v>
      </c>
      <c r="X26" s="199">
        <f>IF(X$2&lt;=$C$52,0,'Opex PVC'!$E$74*(1+$C$51)^(X$2-$C$52-1))+'Cashflow Phenol Option 1-Ethane'!X17</f>
        <v>201.48370644860717</v>
      </c>
      <c r="Y26" s="199">
        <f>IF(Y$2&lt;=$C$52,0,'Opex PVC'!$E$74*(1+$C$51)^(Y$2-$C$52-1))+'Cashflow Phenol Option 1-Ethane'!Y17</f>
        <v>210.5504732387945</v>
      </c>
      <c r="Z26" s="199">
        <f>IF(Z$2&lt;=$C$52,0,'Opex PVC'!$E$74*(1+$C$51)^(Z$2-$C$52-1))+'Cashflow Phenol Option 1-Ethane'!Z17</f>
        <v>220.02524453454021</v>
      </c>
    </row>
    <row r="27" spans="1:27">
      <c r="A27" s="52"/>
      <c r="B27" s="17" t="s">
        <v>21</v>
      </c>
      <c r="C27" s="17"/>
      <c r="D27" s="17"/>
      <c r="E27" s="17"/>
      <c r="F27" s="17"/>
      <c r="G27" s="208">
        <f t="shared" si="3"/>
        <v>5.394811912324516E-2</v>
      </c>
      <c r="H27" s="199">
        <f>IF(H$2&lt;=$C$52,0,'Opex PVC'!$E$77*(1+$C$51)^(H$2-$C$52-1))+'Cashflow Phenol Option 1-Ethane'!H18</f>
        <v>156.07625010406608</v>
      </c>
      <c r="I27" s="199">
        <f>IF(I$2&lt;=$C$52,0,'Opex PVC'!$E$77*(1+$C$51)^(I$2-$C$52-1))+'Cashflow Phenol Option 1-Ethane'!I18</f>
        <v>171.61490941448756</v>
      </c>
      <c r="J27" s="199">
        <f>IF(J$2&lt;=$C$52,0,'Opex PVC'!$E$77*(1+$C$51)^(J$2-$C$52-1))+'Cashflow Phenol Option 1-Ethane'!J18</f>
        <v>179.3375803381395</v>
      </c>
      <c r="K27" s="199">
        <f>IF(K$2&lt;=$C$52,0,'Opex PVC'!$E$77*(1+$C$51)^(K$2-$C$52-1))+'Cashflow Phenol Option 1-Ethane'!K18</f>
        <v>187.40777145335579</v>
      </c>
      <c r="L27" s="199">
        <f>IF(L$2&lt;=$C$52,0,'Opex PVC'!$E$77*(1+$C$51)^(L$2-$C$52-1))+'Cashflow Phenol Option 1-Ethane'!L18</f>
        <v>195.84112116875673</v>
      </c>
      <c r="M27" s="199">
        <f>IF(M$2&lt;=$C$52,0,'Opex PVC'!$E$77*(1+$C$51)^(M$2-$C$52-1))+'Cashflow Phenol Option 1-Ethane'!M18</f>
        <v>204.65397162135079</v>
      </c>
      <c r="N27" s="199">
        <f>IF(N$2&lt;=$C$52,0,'Opex PVC'!$E$77*(1+$C$51)^(N$2-$C$52-1))+'Cashflow Phenol Option 1-Ethane'!N18</f>
        <v>213.86340034431151</v>
      </c>
      <c r="O27" s="199">
        <f>IF(O$2&lt;=$C$52,0,'Opex PVC'!$E$77*(1+$C$51)^(O$2-$C$52-1))+'Cashflow Phenol Option 1-Ethane'!O18</f>
        <v>223.48725335980555</v>
      </c>
      <c r="P27" s="199">
        <f>IF(P$2&lt;=$C$52,0,'Opex PVC'!$E$77*(1+$C$51)^(P$2-$C$52-1))+'Cashflow Phenol Option 1-Ethane'!P18</f>
        <v>233.54417976099674</v>
      </c>
      <c r="Q27" s="199">
        <f>IF(Q$2&lt;=$C$52,0,'Opex PVC'!$E$77*(1+$C$51)^(Q$2-$C$52-1))+'Cashflow Phenol Option 1-Ethane'!Q18</f>
        <v>244.0536678502416</v>
      </c>
      <c r="R27" s="199">
        <f>IF(R$2&lt;=$C$52,0,'Opex PVC'!$E$77*(1+$C$51)^(R$2-$C$52-1))+'Cashflow Phenol Option 1-Ethane'!R18</f>
        <v>255.0360829035024</v>
      </c>
      <c r="S27" s="199">
        <f>IF(S$2&lt;=$C$52,0,'Opex PVC'!$E$77*(1+$C$51)^(S$2-$C$52-1))+'Cashflow Phenol Option 1-Ethane'!S18</f>
        <v>266.51270663416005</v>
      </c>
      <c r="T27" s="199">
        <f>IF(T$2&lt;=$C$52,0,'Opex PVC'!$E$77*(1+$C$51)^(T$2-$C$52-1))+'Cashflow Phenol Option 1-Ethane'!T18</f>
        <v>278.50577843269718</v>
      </c>
      <c r="U27" s="199">
        <f>IF(U$2&lt;=$C$52,0,'Opex PVC'!$E$77*(1+$C$51)^(U$2-$C$52-1))+'Cashflow Phenol Option 1-Ethane'!U18</f>
        <v>291.03853846216856</v>
      </c>
      <c r="V27" s="199">
        <f>IF(V$2&lt;=$C$52,0,'Opex PVC'!$E$77*(1+$C$51)^(V$2-$C$52-1))+'Cashflow Phenol Option 1-Ethane'!V18</f>
        <v>304.13527269296605</v>
      </c>
      <c r="W27" s="199">
        <f>IF(W$2&lt;=$C$52,0,'Opex PVC'!$E$77*(1+$C$51)^(W$2-$C$52-1))+'Cashflow Phenol Option 1-Ethane'!W18</f>
        <v>317.82135996414956</v>
      </c>
      <c r="X27" s="199">
        <f>IF(X$2&lt;=$C$52,0,'Opex PVC'!$E$77*(1+$C$51)^(X$2-$C$52-1))+'Cashflow Phenol Option 1-Ethane'!X18</f>
        <v>332.12332116253617</v>
      </c>
      <c r="Y27" s="199">
        <f>IF(Y$2&lt;=$C$52,0,'Opex PVC'!$E$77*(1+$C$51)^(Y$2-$C$52-1))+'Cashflow Phenol Option 1-Ethane'!Y18</f>
        <v>347.06887061485031</v>
      </c>
      <c r="Z27" s="199">
        <f>IF(Z$2&lt;=$C$52,0,'Opex PVC'!$E$77*(1+$C$51)^(Z$2-$C$52-1))+'Cashflow Phenol Option 1-Ethane'!Z18</f>
        <v>362.68696979251843</v>
      </c>
    </row>
    <row r="28" spans="1:27" s="167" customFormat="1">
      <c r="A28" s="187"/>
      <c r="B28" s="209" t="s">
        <v>30</v>
      </c>
      <c r="C28" s="209"/>
      <c r="D28" s="209"/>
      <c r="E28" s="209"/>
      <c r="F28" s="209"/>
      <c r="G28" s="210"/>
      <c r="H28" s="192">
        <f>SUM(H22:H27)</f>
        <v>2540.6134066458785</v>
      </c>
      <c r="I28" s="192">
        <f t="shared" ref="I28:Q28" si="4">SUM(I22:I27)</f>
        <v>3052.8387271449997</v>
      </c>
      <c r="J28" s="887">
        <f t="shared" si="4"/>
        <v>3324.2601086506934</v>
      </c>
      <c r="K28" s="192">
        <f t="shared" si="4"/>
        <v>3509.1101792580844</v>
      </c>
      <c r="L28" s="192">
        <f t="shared" si="4"/>
        <v>3701.8071304295668</v>
      </c>
      <c r="M28" s="192">
        <f t="shared" si="4"/>
        <v>3906.3963984868328</v>
      </c>
      <c r="N28" s="192">
        <f t="shared" si="4"/>
        <v>4122.0802541744033</v>
      </c>
      <c r="O28" s="192">
        <f t="shared" si="4"/>
        <v>4350.2401732558646</v>
      </c>
      <c r="P28" s="192">
        <f t="shared" si="4"/>
        <v>4592.9567587616566</v>
      </c>
      <c r="Q28" s="192">
        <f t="shared" si="4"/>
        <v>4843.4819811831403</v>
      </c>
      <c r="R28" s="192">
        <f t="shared" ref="R28:Z28" si="5">SUM(R22:R27)</f>
        <v>5108.8646661536432</v>
      </c>
      <c r="S28" s="192">
        <f t="shared" si="5"/>
        <v>5389.3379994651687</v>
      </c>
      <c r="T28" s="192">
        <f t="shared" si="5"/>
        <v>5683.8324308632436</v>
      </c>
      <c r="U28" s="192">
        <f t="shared" si="5"/>
        <v>5994.2318775613439</v>
      </c>
      <c r="V28" s="192">
        <f t="shared" si="5"/>
        <v>6321.5509102581254</v>
      </c>
      <c r="W28" s="192">
        <f t="shared" si="5"/>
        <v>6669.1908920590049</v>
      </c>
      <c r="X28" s="192">
        <f t="shared" si="5"/>
        <v>7036.6671822691042</v>
      </c>
      <c r="Y28" s="192">
        <f t="shared" si="5"/>
        <v>7425.9449203819149</v>
      </c>
      <c r="Z28" s="192">
        <f t="shared" si="5"/>
        <v>7834.8422786345627</v>
      </c>
    </row>
    <row r="29" spans="1:27" s="893" customFormat="1">
      <c r="A29" s="888"/>
      <c r="B29" s="889" t="s">
        <v>11</v>
      </c>
      <c r="C29" s="889"/>
      <c r="D29" s="889"/>
      <c r="E29" s="889"/>
      <c r="F29" s="889"/>
      <c r="G29" s="890"/>
      <c r="H29" s="891"/>
      <c r="I29" s="891"/>
      <c r="J29" s="891">
        <f>J28-J27</f>
        <v>3144.9225283125538</v>
      </c>
      <c r="K29" s="948"/>
      <c r="L29" s="891"/>
      <c r="M29" s="891"/>
      <c r="N29" s="891"/>
      <c r="O29" s="891"/>
      <c r="P29" s="891"/>
      <c r="Q29" s="891"/>
      <c r="R29" s="892"/>
      <c r="S29" s="892"/>
      <c r="T29" s="892"/>
      <c r="U29" s="892"/>
      <c r="V29" s="892"/>
      <c r="W29" s="892"/>
      <c r="X29" s="892"/>
      <c r="Y29" s="892"/>
      <c r="Z29" s="892"/>
    </row>
    <row r="30" spans="1:27">
      <c r="A30" s="203">
        <v>4</v>
      </c>
      <c r="B30" s="204" t="s">
        <v>392</v>
      </c>
      <c r="C30" s="204"/>
      <c r="D30" s="204"/>
      <c r="E30" s="204"/>
      <c r="F30" s="204"/>
      <c r="G30" s="205"/>
      <c r="H30" s="206">
        <f t="shared" ref="H30:Z30" si="6">H15-H28</f>
        <v>1536.5959057316854</v>
      </c>
      <c r="I30" s="206">
        <f t="shared" si="6"/>
        <v>2113.3200251362982</v>
      </c>
      <c r="J30" s="206">
        <f t="shared" si="6"/>
        <v>2462.7619237507311</v>
      </c>
      <c r="K30" s="206">
        <f t="shared" si="6"/>
        <v>2608.5821652521549</v>
      </c>
      <c r="L30" s="206">
        <f t="shared" si="6"/>
        <v>2765.5026350463718</v>
      </c>
      <c r="M30" s="206">
        <f t="shared" si="6"/>
        <v>2930.5659647034886</v>
      </c>
      <c r="N30" s="206">
        <f t="shared" si="6"/>
        <v>3105.720546230842</v>
      </c>
      <c r="O30" s="206">
        <f t="shared" si="6"/>
        <v>3290.8017675481324</v>
      </c>
      <c r="P30" s="206">
        <f t="shared" si="6"/>
        <v>3485.0159042894147</v>
      </c>
      <c r="Q30" s="206">
        <f t="shared" si="6"/>
        <v>3696.471913643094</v>
      </c>
      <c r="R30" s="206">
        <f t="shared" si="6"/>
        <v>3919.5602133885268</v>
      </c>
      <c r="S30" s="206">
        <f t="shared" si="6"/>
        <v>4155.5696897136268</v>
      </c>
      <c r="T30" s="206">
        <f t="shared" si="6"/>
        <v>4407.1795665800109</v>
      </c>
      <c r="U30" s="206">
        <f t="shared" si="6"/>
        <v>4674.2082507242212</v>
      </c>
      <c r="V30" s="206">
        <f t="shared" si="6"/>
        <v>4957.4414854100633</v>
      </c>
      <c r="W30" s="206">
        <f t="shared" si="6"/>
        <v>5255.3818593474934</v>
      </c>
      <c r="X30" s="206">
        <f t="shared" si="6"/>
        <v>5570.5275765993847</v>
      </c>
      <c r="Y30" s="206">
        <f t="shared" si="6"/>
        <v>5903.0429909683389</v>
      </c>
      <c r="Z30" s="206">
        <f t="shared" si="6"/>
        <v>6257.3620363960717</v>
      </c>
    </row>
    <row r="31" spans="1:27">
      <c r="A31" s="194"/>
      <c r="B31" s="195" t="s">
        <v>32</v>
      </c>
      <c r="C31" s="182">
        <f t="shared" ref="C31:E31" si="7">-C14</f>
        <v>-429.61</v>
      </c>
      <c r="D31" s="182">
        <f t="shared" si="7"/>
        <v>-2148.0299999999997</v>
      </c>
      <c r="E31" s="182">
        <f t="shared" si="7"/>
        <v>-3007.2400000000002</v>
      </c>
      <c r="F31" s="182">
        <f>-F14</f>
        <v>-3007.2400000000002</v>
      </c>
      <c r="G31" s="196"/>
      <c r="H31" s="197">
        <f>H30+SUM(C31:F31)</f>
        <v>-7055.5240942683158</v>
      </c>
      <c r="I31" s="197">
        <f t="shared" ref="I31:Z31" si="8">I30</f>
        <v>2113.3200251362982</v>
      </c>
      <c r="J31" s="197">
        <f t="shared" si="8"/>
        <v>2462.7619237507311</v>
      </c>
      <c r="K31" s="197">
        <f t="shared" si="8"/>
        <v>2608.5821652521549</v>
      </c>
      <c r="L31" s="197">
        <f t="shared" si="8"/>
        <v>2765.5026350463718</v>
      </c>
      <c r="M31" s="197">
        <f t="shared" si="8"/>
        <v>2930.5659647034886</v>
      </c>
      <c r="N31" s="197">
        <f t="shared" si="8"/>
        <v>3105.720546230842</v>
      </c>
      <c r="O31" s="197">
        <f t="shared" si="8"/>
        <v>3290.8017675481324</v>
      </c>
      <c r="P31" s="197">
        <f t="shared" si="8"/>
        <v>3485.0159042894147</v>
      </c>
      <c r="Q31" s="197">
        <f t="shared" si="8"/>
        <v>3696.471913643094</v>
      </c>
      <c r="R31" s="197">
        <f t="shared" si="8"/>
        <v>3919.5602133885268</v>
      </c>
      <c r="S31" s="197">
        <f t="shared" si="8"/>
        <v>4155.5696897136268</v>
      </c>
      <c r="T31" s="197">
        <f t="shared" si="8"/>
        <v>4407.1795665800109</v>
      </c>
      <c r="U31" s="197">
        <f t="shared" si="8"/>
        <v>4674.2082507242212</v>
      </c>
      <c r="V31" s="197">
        <f t="shared" si="8"/>
        <v>4957.4414854100633</v>
      </c>
      <c r="W31" s="197">
        <f t="shared" si="8"/>
        <v>5255.3818593474934</v>
      </c>
      <c r="X31" s="197">
        <f t="shared" si="8"/>
        <v>5570.5275765993847</v>
      </c>
      <c r="Y31" s="197">
        <f t="shared" si="8"/>
        <v>5903.0429909683389</v>
      </c>
      <c r="Z31" s="197">
        <f t="shared" si="8"/>
        <v>6257.3620363960717</v>
      </c>
    </row>
    <row r="32" spans="1:27">
      <c r="A32" s="52"/>
      <c r="B32" s="17"/>
      <c r="C32" s="17"/>
      <c r="D32" s="17"/>
      <c r="E32" s="17"/>
      <c r="F32" s="17"/>
      <c r="G32" s="201"/>
      <c r="H32" s="262">
        <f>H30/H15</f>
        <v>0.37687442267604415</v>
      </c>
      <c r="I32" s="262">
        <f t="shared" ref="I32:Z32" si="9">I30/I15</f>
        <v>0.40906989631379176</v>
      </c>
      <c r="J32" s="262">
        <f t="shared" si="9"/>
        <v>0.42556636383303442</v>
      </c>
      <c r="K32" s="262">
        <f t="shared" si="9"/>
        <v>0.42639969752532381</v>
      </c>
      <c r="L32" s="262">
        <f t="shared" si="9"/>
        <v>0.42761252133140315</v>
      </c>
      <c r="M32" s="262">
        <f t="shared" si="9"/>
        <v>0.42863567312896589</v>
      </c>
      <c r="N32" s="262">
        <f t="shared" si="9"/>
        <v>0.4296909436210129</v>
      </c>
      <c r="O32" s="262">
        <f t="shared" si="9"/>
        <v>0.43067448039708983</v>
      </c>
      <c r="P32" s="262">
        <f t="shared" si="9"/>
        <v>0.43142209681273114</v>
      </c>
      <c r="Q32" s="262">
        <f t="shared" si="9"/>
        <v>0.43284448126617286</v>
      </c>
      <c r="R32" s="262">
        <f t="shared" si="9"/>
        <v>0.43413555140387755</v>
      </c>
      <c r="S32" s="262">
        <f t="shared" si="9"/>
        <v>0.43537033830351846</v>
      </c>
      <c r="T32" s="262">
        <f t="shared" si="9"/>
        <v>0.43674307073429819</v>
      </c>
      <c r="U32" s="262">
        <f t="shared" si="9"/>
        <v>0.43813417842889218</v>
      </c>
      <c r="V32" s="262">
        <f t="shared" si="9"/>
        <v>0.43952875500776284</v>
      </c>
      <c r="W32" s="262">
        <f t="shared" si="9"/>
        <v>0.44071867134423104</v>
      </c>
      <c r="X32" s="262">
        <f t="shared" si="9"/>
        <v>0.44185305955401505</v>
      </c>
      <c r="Y32" s="262">
        <f t="shared" si="9"/>
        <v>0.44287255943428555</v>
      </c>
      <c r="Z32" s="262">
        <f t="shared" si="9"/>
        <v>0.44403003934040458</v>
      </c>
    </row>
    <row r="33" spans="1:27">
      <c r="A33" s="52"/>
      <c r="B33" s="17" t="s">
        <v>33</v>
      </c>
      <c r="C33" s="17"/>
      <c r="D33" s="17"/>
      <c r="E33" s="17"/>
      <c r="F33" s="17"/>
      <c r="G33" s="201">
        <v>1</v>
      </c>
      <c r="H33" s="199">
        <f>G33/(1+0.1)</f>
        <v>0.90909090909090906</v>
      </c>
      <c r="I33" s="199">
        <f>H33/(1+0.1)</f>
        <v>0.82644628099173545</v>
      </c>
      <c r="J33" s="199">
        <f t="shared" ref="J33:Z33" si="10">I33/(1+0.1)</f>
        <v>0.75131480090157765</v>
      </c>
      <c r="K33" s="199">
        <f t="shared" si="10"/>
        <v>0.68301345536507052</v>
      </c>
      <c r="L33" s="199">
        <f t="shared" si="10"/>
        <v>0.62092132305915493</v>
      </c>
      <c r="M33" s="199">
        <f t="shared" si="10"/>
        <v>0.56447393005377711</v>
      </c>
      <c r="N33" s="199">
        <f t="shared" si="10"/>
        <v>0.51315811823070645</v>
      </c>
      <c r="O33" s="199">
        <f t="shared" si="10"/>
        <v>0.46650738020973309</v>
      </c>
      <c r="P33" s="199">
        <f t="shared" si="10"/>
        <v>0.42409761837248461</v>
      </c>
      <c r="Q33" s="199">
        <f t="shared" si="10"/>
        <v>0.38554328942953142</v>
      </c>
      <c r="R33" s="199">
        <f t="shared" si="10"/>
        <v>0.35049389948139215</v>
      </c>
      <c r="S33" s="199">
        <f t="shared" si="10"/>
        <v>0.31863081771035645</v>
      </c>
      <c r="T33" s="199">
        <f t="shared" si="10"/>
        <v>0.28966437973668768</v>
      </c>
      <c r="U33" s="199">
        <f t="shared" si="10"/>
        <v>0.26333125430607968</v>
      </c>
      <c r="V33" s="199">
        <f t="shared" si="10"/>
        <v>0.23939204936916333</v>
      </c>
      <c r="W33" s="199">
        <f t="shared" si="10"/>
        <v>0.21762913579014848</v>
      </c>
      <c r="X33" s="199">
        <f t="shared" si="10"/>
        <v>0.19784466890013497</v>
      </c>
      <c r="Y33" s="199">
        <f t="shared" si="10"/>
        <v>0.17985878990921358</v>
      </c>
      <c r="Z33" s="199">
        <f t="shared" si="10"/>
        <v>0.16350799082655779</v>
      </c>
    </row>
    <row r="34" spans="1:27" hidden="1">
      <c r="A34" s="52"/>
      <c r="B34" s="17" t="s">
        <v>34</v>
      </c>
      <c r="C34" s="182"/>
      <c r="D34" s="182"/>
      <c r="E34" s="182"/>
      <c r="F34" s="182"/>
      <c r="G34" s="211"/>
      <c r="H34" s="202">
        <f>H31*H33</f>
        <v>-6414.112812971196</v>
      </c>
      <c r="I34" s="202">
        <f t="shared" ref="I34:Z34" si="11">I31*I33</f>
        <v>1746.5454753192546</v>
      </c>
      <c r="J34" s="202">
        <f t="shared" si="11"/>
        <v>1850.3094844107668</v>
      </c>
      <c r="K34" s="202">
        <f t="shared" si="11"/>
        <v>1781.6967182925716</v>
      </c>
      <c r="L34" s="202">
        <f t="shared" si="11"/>
        <v>1717.1595550765724</v>
      </c>
      <c r="M34" s="202">
        <f t="shared" si="11"/>
        <v>1654.2280873780169</v>
      </c>
      <c r="N34" s="202">
        <f t="shared" si="11"/>
        <v>1593.7257112542607</v>
      </c>
      <c r="O34" s="202">
        <f t="shared" si="11"/>
        <v>1535.1833113684384</v>
      </c>
      <c r="P34" s="202">
        <f t="shared" si="11"/>
        <v>1477.9869449993716</v>
      </c>
      <c r="Q34" s="202">
        <f t="shared" si="11"/>
        <v>1425.1499408698332</v>
      </c>
      <c r="R34" s="202">
        <f t="shared" si="11"/>
        <v>1373.7819434426622</v>
      </c>
      <c r="S34" s="202">
        <f t="shared" si="11"/>
        <v>1324.0925682858251</v>
      </c>
      <c r="T34" s="202">
        <f t="shared" si="11"/>
        <v>1276.6029355416028</v>
      </c>
      <c r="U34" s="202">
        <f t="shared" si="11"/>
        <v>1230.8651215510358</v>
      </c>
      <c r="V34" s="202">
        <f t="shared" si="11"/>
        <v>1186.7720768200243</v>
      </c>
      <c r="W34" s="202">
        <f t="shared" si="11"/>
        <v>1143.7242122970185</v>
      </c>
      <c r="X34" s="202">
        <f t="shared" si="11"/>
        <v>1102.0991839913765</v>
      </c>
      <c r="Y34" s="202">
        <f t="shared" si="11"/>
        <v>1061.7141691376303</v>
      </c>
      <c r="Z34" s="202">
        <f t="shared" si="11"/>
        <v>1023.1286944454998</v>
      </c>
    </row>
    <row r="35" spans="1:27" hidden="1">
      <c r="A35" s="52"/>
      <c r="B35" s="17" t="s">
        <v>35</v>
      </c>
      <c r="C35" s="17"/>
      <c r="D35" s="17"/>
      <c r="E35" s="17"/>
      <c r="F35" s="17"/>
      <c r="G35" s="211"/>
      <c r="H35" s="202">
        <f>H31</f>
        <v>-7055.5240942683158</v>
      </c>
      <c r="I35" s="202">
        <f t="shared" ref="I35:Z35" si="12">I31</f>
        <v>2113.3200251362982</v>
      </c>
      <c r="J35" s="202">
        <f t="shared" si="12"/>
        <v>2462.7619237507311</v>
      </c>
      <c r="K35" s="202">
        <f t="shared" si="12"/>
        <v>2608.5821652521549</v>
      </c>
      <c r="L35" s="202">
        <f t="shared" si="12"/>
        <v>2765.5026350463718</v>
      </c>
      <c r="M35" s="202">
        <f t="shared" si="12"/>
        <v>2930.5659647034886</v>
      </c>
      <c r="N35" s="202">
        <f t="shared" si="12"/>
        <v>3105.720546230842</v>
      </c>
      <c r="O35" s="202">
        <f t="shared" si="12"/>
        <v>3290.8017675481324</v>
      </c>
      <c r="P35" s="202">
        <f t="shared" si="12"/>
        <v>3485.0159042894147</v>
      </c>
      <c r="Q35" s="202">
        <f t="shared" si="12"/>
        <v>3696.471913643094</v>
      </c>
      <c r="R35" s="202">
        <f t="shared" si="12"/>
        <v>3919.5602133885268</v>
      </c>
      <c r="S35" s="202">
        <f t="shared" si="12"/>
        <v>4155.5696897136268</v>
      </c>
      <c r="T35" s="202">
        <f t="shared" si="12"/>
        <v>4407.1795665800109</v>
      </c>
      <c r="U35" s="202">
        <f t="shared" si="12"/>
        <v>4674.2082507242212</v>
      </c>
      <c r="V35" s="202">
        <f t="shared" si="12"/>
        <v>4957.4414854100633</v>
      </c>
      <c r="W35" s="202">
        <f t="shared" si="12"/>
        <v>5255.3818593474934</v>
      </c>
      <c r="X35" s="202">
        <f t="shared" si="12"/>
        <v>5570.5275765993847</v>
      </c>
      <c r="Y35" s="202">
        <f t="shared" si="12"/>
        <v>5903.0429909683389</v>
      </c>
      <c r="Z35" s="202">
        <f t="shared" si="12"/>
        <v>6257.3620363960717</v>
      </c>
    </row>
    <row r="36" spans="1:27" hidden="1">
      <c r="A36" s="53"/>
      <c r="B36" s="55" t="s">
        <v>443</v>
      </c>
      <c r="C36" s="55"/>
      <c r="D36" s="55"/>
      <c r="E36" s="55"/>
      <c r="F36" s="55"/>
      <c r="G36" s="212"/>
      <c r="H36" s="213">
        <f>H31</f>
        <v>-7055.5240942683158</v>
      </c>
      <c r="I36" s="213">
        <f>H36+I31</f>
        <v>-4942.204069132018</v>
      </c>
      <c r="J36" s="213">
        <f t="shared" ref="J36:Z36" si="13">I36+J31</f>
        <v>-2479.442145381287</v>
      </c>
      <c r="K36" s="213">
        <f t="shared" si="13"/>
        <v>129.14001987086795</v>
      </c>
      <c r="L36" s="213">
        <f t="shared" si="13"/>
        <v>2894.6426549172397</v>
      </c>
      <c r="M36" s="213">
        <f t="shared" si="13"/>
        <v>5825.2086196207283</v>
      </c>
      <c r="N36" s="213">
        <f t="shared" si="13"/>
        <v>8930.9291658515704</v>
      </c>
      <c r="O36" s="213">
        <f t="shared" si="13"/>
        <v>12221.730933399704</v>
      </c>
      <c r="P36" s="213">
        <f t="shared" si="13"/>
        <v>15706.746837689119</v>
      </c>
      <c r="Q36" s="213">
        <f t="shared" si="13"/>
        <v>19403.218751332213</v>
      </c>
      <c r="R36" s="213">
        <f t="shared" si="13"/>
        <v>23322.778964720739</v>
      </c>
      <c r="S36" s="213">
        <f t="shared" si="13"/>
        <v>27478.348654434365</v>
      </c>
      <c r="T36" s="213">
        <f t="shared" si="13"/>
        <v>31885.528221014378</v>
      </c>
      <c r="U36" s="213">
        <f t="shared" si="13"/>
        <v>36559.736471738601</v>
      </c>
      <c r="V36" s="213">
        <f t="shared" si="13"/>
        <v>41517.177957148662</v>
      </c>
      <c r="W36" s="213">
        <f t="shared" si="13"/>
        <v>46772.559816496156</v>
      </c>
      <c r="X36" s="213">
        <f t="shared" si="13"/>
        <v>52343.087393095542</v>
      </c>
      <c r="Y36" s="213">
        <f t="shared" si="13"/>
        <v>58246.130384063879</v>
      </c>
      <c r="Z36" s="213">
        <f t="shared" si="13"/>
        <v>64503.492420459952</v>
      </c>
    </row>
    <row r="37" spans="1:27">
      <c r="A37" s="52"/>
      <c r="B37" s="17"/>
      <c r="C37" s="17"/>
      <c r="D37" s="17"/>
      <c r="E37" s="17"/>
      <c r="F37" s="17"/>
      <c r="G37" s="201"/>
      <c r="H37" s="202"/>
      <c r="I37" s="202"/>
      <c r="J37" s="202"/>
      <c r="K37" s="202"/>
      <c r="L37" s="202"/>
      <c r="M37" s="202"/>
      <c r="N37" s="202"/>
      <c r="O37" s="202"/>
      <c r="P37" s="202"/>
      <c r="Q37" s="202"/>
      <c r="R37" s="202"/>
      <c r="S37" s="202"/>
      <c r="T37" s="202"/>
      <c r="U37" s="202"/>
      <c r="V37" s="202"/>
      <c r="W37" s="202"/>
      <c r="X37" s="202"/>
      <c r="Y37" s="202"/>
      <c r="Z37" s="202"/>
    </row>
    <row r="38" spans="1:27">
      <c r="A38" s="52"/>
      <c r="B38" s="17"/>
      <c r="C38" s="17"/>
      <c r="D38" s="17"/>
      <c r="E38" s="17"/>
      <c r="F38" s="17"/>
      <c r="G38" s="201"/>
      <c r="H38" s="202"/>
      <c r="I38" s="202"/>
      <c r="J38" s="202"/>
      <c r="K38" s="202"/>
      <c r="L38" s="202"/>
      <c r="M38" s="202"/>
      <c r="N38" s="202"/>
      <c r="O38" s="202"/>
      <c r="P38" s="202"/>
      <c r="Q38" s="202"/>
      <c r="R38" s="202"/>
      <c r="S38" s="202"/>
      <c r="T38" s="202"/>
      <c r="U38" s="202"/>
      <c r="V38" s="202"/>
      <c r="W38" s="202"/>
      <c r="X38" s="202"/>
      <c r="Y38" s="202"/>
      <c r="Z38" s="202"/>
    </row>
    <row r="39" spans="1:27">
      <c r="A39" s="52"/>
      <c r="B39" s="214" t="s">
        <v>36</v>
      </c>
      <c r="C39" s="215"/>
      <c r="D39" s="215"/>
      <c r="E39" s="215"/>
      <c r="F39" s="215"/>
      <c r="G39" s="298">
        <f>NPV(0%,(H34:Z34))</f>
        <v>19090.653321510563</v>
      </c>
      <c r="H39" s="216"/>
      <c r="I39" s="199"/>
      <c r="J39" s="199"/>
      <c r="K39" s="199"/>
      <c r="L39" s="199"/>
      <c r="M39" s="199"/>
      <c r="N39" s="199"/>
      <c r="O39" s="199"/>
      <c r="P39" s="199"/>
      <c r="Q39" s="199"/>
      <c r="R39" s="199"/>
      <c r="S39" s="199"/>
      <c r="T39" s="199"/>
      <c r="U39" s="199"/>
      <c r="V39" s="199"/>
      <c r="W39" s="199"/>
      <c r="X39" s="199"/>
      <c r="Y39" s="199"/>
      <c r="Z39" s="199"/>
    </row>
    <row r="40" spans="1:27">
      <c r="A40" s="52"/>
      <c r="B40" s="217" t="s">
        <v>37</v>
      </c>
      <c r="C40" s="218"/>
      <c r="D40" s="218"/>
      <c r="E40" s="218"/>
      <c r="F40" s="218"/>
      <c r="G40" s="300">
        <f>IRR(C31:Z31,0.1)</f>
        <v>0.15805805526115613</v>
      </c>
      <c r="H40" s="219"/>
      <c r="I40" s="199"/>
      <c r="J40" s="199"/>
      <c r="K40" s="199"/>
      <c r="L40" s="199"/>
      <c r="M40" s="199"/>
      <c r="N40" s="199"/>
      <c r="O40" s="199"/>
      <c r="P40" s="199"/>
      <c r="Q40" s="199"/>
      <c r="R40" s="199"/>
      <c r="S40" s="199"/>
      <c r="T40" s="199"/>
      <c r="U40" s="199"/>
      <c r="V40" s="199"/>
      <c r="W40" s="199"/>
      <c r="X40" s="199"/>
      <c r="Y40" s="199"/>
      <c r="Z40" s="199"/>
    </row>
    <row r="41" spans="1:27">
      <c r="A41" s="52"/>
      <c r="B41" s="220" t="s">
        <v>396</v>
      </c>
      <c r="C41" s="221"/>
      <c r="D41" s="221"/>
      <c r="E41" s="221"/>
      <c r="F41" s="221"/>
      <c r="G41" s="299">
        <f>IF(SUM(H46:Z46)&lt;=25,SUM(H46:Z46)," N/A ")</f>
        <v>3.9504941720482916</v>
      </c>
      <c r="H41" s="222"/>
      <c r="I41" s="199"/>
      <c r="J41" s="199"/>
      <c r="K41" s="199"/>
      <c r="L41" s="199"/>
      <c r="M41" s="199"/>
      <c r="N41" s="199"/>
      <c r="O41" s="199"/>
      <c r="P41" s="199"/>
      <c r="Q41" s="199"/>
      <c r="R41" s="199"/>
      <c r="S41" s="199"/>
      <c r="T41" s="199"/>
      <c r="U41" s="199"/>
      <c r="V41" s="199"/>
      <c r="W41" s="199"/>
      <c r="X41" s="199"/>
      <c r="Y41" s="199"/>
      <c r="Z41" s="199"/>
    </row>
    <row r="42" spans="1:27" ht="16.5" customHeight="1">
      <c r="A42" s="52"/>
      <c r="B42" s="307" t="s">
        <v>397</v>
      </c>
      <c r="C42" s="308"/>
      <c r="D42" s="308"/>
      <c r="E42" s="308"/>
      <c r="F42" s="308"/>
      <c r="G42" s="309">
        <f>IF(SUM(H47:Z47)&lt;=25,SUM(H47:Z47)," N/A ")</f>
        <v>4.3916185172959041</v>
      </c>
      <c r="H42" s="310"/>
      <c r="I42" s="199"/>
      <c r="J42" s="199"/>
      <c r="K42" s="199"/>
      <c r="L42" s="199"/>
      <c r="M42" s="199"/>
      <c r="N42" s="199"/>
      <c r="O42" s="199"/>
      <c r="P42" s="199"/>
      <c r="Q42" s="199"/>
      <c r="R42" s="199"/>
      <c r="S42" s="199"/>
      <c r="T42" s="199"/>
      <c r="U42" s="199"/>
      <c r="V42" s="199"/>
      <c r="W42" s="199"/>
      <c r="X42" s="199"/>
      <c r="Y42" s="199"/>
      <c r="Z42" s="199"/>
    </row>
    <row r="43" spans="1:27" ht="19.5" customHeight="1">
      <c r="A43" s="286"/>
      <c r="H43" s="223">
        <v>1</v>
      </c>
      <c r="I43" s="301">
        <v>2</v>
      </c>
      <c r="J43" s="301">
        <v>3</v>
      </c>
      <c r="K43" s="301">
        <v>4</v>
      </c>
      <c r="L43" s="301">
        <v>5</v>
      </c>
      <c r="M43" s="301">
        <v>6</v>
      </c>
      <c r="N43" s="301">
        <v>7</v>
      </c>
      <c r="O43" s="301">
        <v>8</v>
      </c>
      <c r="P43" s="301">
        <v>9</v>
      </c>
      <c r="Q43" s="301">
        <v>10</v>
      </c>
      <c r="R43" s="301">
        <v>11</v>
      </c>
      <c r="S43" s="301">
        <v>12</v>
      </c>
      <c r="T43" s="301">
        <v>13</v>
      </c>
      <c r="U43" s="301">
        <v>14</v>
      </c>
      <c r="V43" s="301">
        <v>15</v>
      </c>
      <c r="W43" s="301">
        <v>16</v>
      </c>
      <c r="X43" s="301">
        <v>17</v>
      </c>
      <c r="Y43" s="301">
        <v>18</v>
      </c>
      <c r="Z43" s="302">
        <v>19</v>
      </c>
    </row>
    <row r="44" spans="1:27" ht="14.25" customHeight="1">
      <c r="A44" s="2"/>
      <c r="B44" s="303" t="s">
        <v>398</v>
      </c>
      <c r="H44" s="223">
        <f>IF(H36&lt;0,1,IF(H35=0,0,-G36/H35))</f>
        <v>1</v>
      </c>
      <c r="I44" s="223">
        <f t="shared" ref="I44:Z44" si="14">IF(I36&lt;0,1,IF(I35=0,0,-H36/I35))</f>
        <v>1</v>
      </c>
      <c r="J44" s="223">
        <f t="shared" si="14"/>
        <v>1</v>
      </c>
      <c r="K44" s="223">
        <f t="shared" si="14"/>
        <v>0.95049417204829167</v>
      </c>
      <c r="L44" s="223">
        <f t="shared" si="14"/>
        <v>-4.6696762546640111E-2</v>
      </c>
      <c r="M44" s="223">
        <f t="shared" si="14"/>
        <v>-0.98774185252305569</v>
      </c>
      <c r="N44" s="223">
        <f t="shared" si="14"/>
        <v>-1.8756383689093681</v>
      </c>
      <c r="O44" s="223">
        <f t="shared" si="14"/>
        <v>-2.7139067609367764</v>
      </c>
      <c r="P44" s="223">
        <f t="shared" si="14"/>
        <v>-3.5069369176642771</v>
      </c>
      <c r="Q44" s="223">
        <f t="shared" si="14"/>
        <v>-4.2491184038807379</v>
      </c>
      <c r="R44" s="223">
        <f t="shared" si="14"/>
        <v>-4.9503560846072059</v>
      </c>
      <c r="S44" s="223">
        <f t="shared" si="14"/>
        <v>-5.612414351382947</v>
      </c>
      <c r="T44" s="223">
        <f t="shared" si="14"/>
        <v>-6.2349056214556908</v>
      </c>
      <c r="U44" s="223">
        <f t="shared" si="14"/>
        <v>-6.8215891356731992</v>
      </c>
      <c r="V44" s="223">
        <f t="shared" si="14"/>
        <v>-7.3747187091033313</v>
      </c>
      <c r="W44" s="223">
        <f t="shared" si="14"/>
        <v>-7.8999355457499378</v>
      </c>
      <c r="X44" s="223">
        <f t="shared" si="14"/>
        <v>-8.3964326849359558</v>
      </c>
      <c r="Y44" s="223">
        <f t="shared" si="14"/>
        <v>-8.8671364028994049</v>
      </c>
      <c r="Z44" s="306">
        <f t="shared" si="14"/>
        <v>-9.3084162375892738</v>
      </c>
    </row>
    <row r="45" spans="1:27">
      <c r="A45" s="63"/>
      <c r="B45" s="303" t="s">
        <v>399</v>
      </c>
      <c r="H45" s="223">
        <f>IF(H36&lt;0,1,IF(H34=0,0,-G36/H34))</f>
        <v>1</v>
      </c>
      <c r="I45" s="223">
        <f>IF(I36&lt;0,1,IF(I34=0,0,-H36/I34))</f>
        <v>1</v>
      </c>
      <c r="J45" s="223">
        <f t="shared" ref="J45:Z45" si="15">IF(J36&lt;0,1,IF(J34=0,0,-I36/J34))</f>
        <v>1</v>
      </c>
      <c r="K45" s="223">
        <f t="shared" si="15"/>
        <v>1.3916185172959044</v>
      </c>
      <c r="L45" s="223">
        <f t="shared" si="15"/>
        <v>-7.5205603048989392E-2</v>
      </c>
      <c r="M45" s="223">
        <f t="shared" si="15"/>
        <v>-1.749844943997598</v>
      </c>
      <c r="N45" s="223">
        <f t="shared" si="15"/>
        <v>-3.6550885629097962</v>
      </c>
      <c r="O45" s="223">
        <f t="shared" si="15"/>
        <v>-5.8175001641274227</v>
      </c>
      <c r="P45" s="223">
        <f t="shared" si="15"/>
        <v>-8.2691738074891443</v>
      </c>
      <c r="Q45" s="223">
        <f t="shared" si="15"/>
        <v>-11.021118822137819</v>
      </c>
      <c r="R45" s="223">
        <f t="shared" si="15"/>
        <v>-14.123943646186124</v>
      </c>
      <c r="S45" s="223">
        <f t="shared" si="15"/>
        <v>-17.614160462296446</v>
      </c>
      <c r="T45" s="223">
        <f t="shared" si="15"/>
        <v>-21.524585201409231</v>
      </c>
      <c r="U45" s="223">
        <f t="shared" si="15"/>
        <v>-25.904973390451453</v>
      </c>
      <c r="V45" s="223">
        <f t="shared" si="15"/>
        <v>-30.806030227557283</v>
      </c>
      <c r="W45" s="223">
        <f t="shared" si="15"/>
        <v>-36.299990426684168</v>
      </c>
      <c r="X45" s="223">
        <f t="shared" si="15"/>
        <v>-42.439519505952319</v>
      </c>
      <c r="Y45" s="223">
        <f t="shared" si="15"/>
        <v>-49.300545207577706</v>
      </c>
      <c r="Z45" s="306">
        <f t="shared" si="15"/>
        <v>-56.9294270606214</v>
      </c>
    </row>
    <row r="46" spans="1:27">
      <c r="A46" s="2"/>
      <c r="B46" s="303" t="s">
        <v>400</v>
      </c>
      <c r="H46" s="296">
        <f>IF(H44&gt;0,H44,0)</f>
        <v>1</v>
      </c>
      <c r="I46" s="296">
        <f t="shared" ref="I46:Z47" si="16">IF(I44&gt;0,I44,0)</f>
        <v>1</v>
      </c>
      <c r="J46" s="296">
        <f t="shared" si="16"/>
        <v>1</v>
      </c>
      <c r="K46" s="296">
        <f t="shared" si="16"/>
        <v>0.95049417204829167</v>
      </c>
      <c r="L46" s="296">
        <f t="shared" si="16"/>
        <v>0</v>
      </c>
      <c r="M46" s="296">
        <f t="shared" si="16"/>
        <v>0</v>
      </c>
      <c r="N46" s="296">
        <f t="shared" si="16"/>
        <v>0</v>
      </c>
      <c r="O46" s="296">
        <f t="shared" si="16"/>
        <v>0</v>
      </c>
      <c r="P46" s="296">
        <f t="shared" si="16"/>
        <v>0</v>
      </c>
      <c r="Q46" s="296">
        <f t="shared" si="16"/>
        <v>0</v>
      </c>
      <c r="R46" s="296">
        <f t="shared" si="16"/>
        <v>0</v>
      </c>
      <c r="S46" s="296">
        <f t="shared" si="16"/>
        <v>0</v>
      </c>
      <c r="T46" s="296">
        <f t="shared" si="16"/>
        <v>0</v>
      </c>
      <c r="U46" s="296">
        <f t="shared" si="16"/>
        <v>0</v>
      </c>
      <c r="V46" s="296">
        <f t="shared" si="16"/>
        <v>0</v>
      </c>
      <c r="W46" s="296">
        <f t="shared" si="16"/>
        <v>0</v>
      </c>
      <c r="X46" s="296">
        <f t="shared" si="16"/>
        <v>0</v>
      </c>
      <c r="Y46" s="296">
        <f t="shared" si="16"/>
        <v>0</v>
      </c>
      <c r="Z46" s="297">
        <f t="shared" si="16"/>
        <v>0</v>
      </c>
      <c r="AA46" s="297"/>
    </row>
    <row r="47" spans="1:27">
      <c r="A47" s="2"/>
      <c r="B47" s="295" t="s">
        <v>401</v>
      </c>
      <c r="C47" s="225"/>
      <c r="D47" s="225"/>
      <c r="E47" s="225"/>
      <c r="F47" s="225"/>
      <c r="G47" s="225"/>
      <c r="H47" s="304">
        <f>IF(H45&gt;0,H45,0)</f>
        <v>1</v>
      </c>
      <c r="I47" s="304">
        <f t="shared" si="16"/>
        <v>1</v>
      </c>
      <c r="J47" s="304">
        <f t="shared" si="16"/>
        <v>1</v>
      </c>
      <c r="K47" s="304">
        <f t="shared" si="16"/>
        <v>1.3916185172959044</v>
      </c>
      <c r="L47" s="304">
        <f t="shared" si="16"/>
        <v>0</v>
      </c>
      <c r="M47" s="304">
        <f t="shared" si="16"/>
        <v>0</v>
      </c>
      <c r="N47" s="304">
        <f t="shared" si="16"/>
        <v>0</v>
      </c>
      <c r="O47" s="304">
        <f t="shared" si="16"/>
        <v>0</v>
      </c>
      <c r="P47" s="304">
        <f t="shared" si="16"/>
        <v>0</v>
      </c>
      <c r="Q47" s="304">
        <f t="shared" si="16"/>
        <v>0</v>
      </c>
      <c r="R47" s="304">
        <f t="shared" si="16"/>
        <v>0</v>
      </c>
      <c r="S47" s="304">
        <f t="shared" si="16"/>
        <v>0</v>
      </c>
      <c r="T47" s="304">
        <f t="shared" si="16"/>
        <v>0</v>
      </c>
      <c r="U47" s="304">
        <f t="shared" si="16"/>
        <v>0</v>
      </c>
      <c r="V47" s="304">
        <f t="shared" si="16"/>
        <v>0</v>
      </c>
      <c r="W47" s="304">
        <f t="shared" si="16"/>
        <v>0</v>
      </c>
      <c r="X47" s="304">
        <f t="shared" si="16"/>
        <v>0</v>
      </c>
      <c r="Y47" s="304">
        <f t="shared" si="16"/>
        <v>0</v>
      </c>
      <c r="Z47" s="305">
        <f t="shared" si="16"/>
        <v>0</v>
      </c>
    </row>
    <row r="48" spans="1:27">
      <c r="H48" s="1"/>
      <c r="I48" s="1"/>
      <c r="J48" s="1"/>
      <c r="K48" s="1"/>
      <c r="L48" s="1"/>
      <c r="M48" s="1"/>
      <c r="N48" s="1"/>
      <c r="O48" s="1"/>
      <c r="P48" s="1"/>
      <c r="Q48" s="1"/>
      <c r="R48" s="1"/>
      <c r="S48" s="1"/>
      <c r="T48" s="1"/>
      <c r="U48" s="1"/>
      <c r="V48" s="1"/>
      <c r="W48" s="1"/>
      <c r="X48" s="1"/>
      <c r="Y48" s="1"/>
      <c r="Z48" s="1"/>
    </row>
    <row r="49" spans="1:26">
      <c r="A49" s="1"/>
      <c r="H49" s="1"/>
      <c r="I49" s="1"/>
      <c r="J49" s="1"/>
      <c r="K49" s="1"/>
      <c r="L49" s="1"/>
      <c r="M49" s="1"/>
      <c r="N49" s="1"/>
      <c r="O49" s="1"/>
      <c r="P49" s="1"/>
      <c r="Q49" s="1"/>
      <c r="R49" s="1"/>
      <c r="S49" s="1"/>
      <c r="T49" s="1"/>
      <c r="U49" s="1"/>
      <c r="V49" s="1"/>
      <c r="W49" s="1"/>
      <c r="X49" s="1"/>
      <c r="Y49" s="1"/>
      <c r="Z49" s="1"/>
    </row>
    <row r="50" spans="1:26">
      <c r="A50" s="1"/>
      <c r="I50" s="229"/>
      <c r="J50" s="1083"/>
      <c r="K50" s="1083"/>
      <c r="L50" s="1083"/>
      <c r="M50" s="1083"/>
      <c r="N50" s="1083"/>
    </row>
    <row r="51" spans="1:26">
      <c r="A51" s="1"/>
      <c r="B51" s="227" t="s">
        <v>395</v>
      </c>
      <c r="C51" s="228">
        <v>4.4999999999999998E-2</v>
      </c>
    </row>
    <row r="52" spans="1:26">
      <c r="A52" s="1"/>
      <c r="B52" s="227" t="s">
        <v>346</v>
      </c>
      <c r="C52" s="291">
        <v>4</v>
      </c>
      <c r="L52" s="226"/>
      <c r="M52" s="226"/>
      <c r="N52" s="226"/>
      <c r="O52" s="226"/>
      <c r="P52" s="226"/>
      <c r="Q52" s="226"/>
    </row>
    <row r="53" spans="1:26">
      <c r="A53" s="1"/>
    </row>
    <row r="54" spans="1:26">
      <c r="B54" s="287" t="s">
        <v>389</v>
      </c>
      <c r="C54" s="287"/>
      <c r="D54" s="287"/>
      <c r="E54" s="287"/>
      <c r="F54" s="287"/>
      <c r="G54" s="287"/>
      <c r="H54" s="158">
        <f t="shared" ref="H54:Z54" si="17">H16/((350000)*H3)*10^7</f>
        <v>74749.50916666667</v>
      </c>
      <c r="I54" s="158">
        <f t="shared" si="17"/>
        <v>79050.595924116657</v>
      </c>
      <c r="J54" s="158">
        <f t="shared" si="17"/>
        <v>83599.167213590321</v>
      </c>
      <c r="K54" s="158">
        <f t="shared" si="17"/>
        <v>88409.463295060283</v>
      </c>
      <c r="L54" s="158">
        <f t="shared" si="17"/>
        <v>93496.543813058059</v>
      </c>
      <c r="M54" s="158">
        <f t="shared" si="17"/>
        <v>98876.334944061411</v>
      </c>
      <c r="N54" s="158">
        <f t="shared" si="17"/>
        <v>104565.67925674266</v>
      </c>
      <c r="O54" s="158">
        <f t="shared" si="17"/>
        <v>110582.38844117564</v>
      </c>
      <c r="P54" s="158">
        <f t="shared" si="17"/>
        <v>116945.29907208083</v>
      </c>
      <c r="Q54" s="158">
        <f t="shared" si="17"/>
        <v>123674.33158068836</v>
      </c>
      <c r="R54" s="158">
        <f t="shared" si="17"/>
        <v>130790.55261984115</v>
      </c>
      <c r="S54" s="158">
        <f t="shared" si="17"/>
        <v>138316.24101758681</v>
      </c>
      <c r="T54" s="158">
        <f t="shared" si="17"/>
        <v>146274.95752573875</v>
      </c>
      <c r="U54" s="158">
        <f t="shared" si="17"/>
        <v>154691.61858176976</v>
      </c>
      <c r="V54" s="158">
        <f t="shared" si="17"/>
        <v>163592.57431496476</v>
      </c>
      <c r="W54" s="158">
        <f t="shared" si="17"/>
        <v>173005.69104104786</v>
      </c>
      <c r="X54" s="158">
        <f t="shared" si="17"/>
        <v>182960.43850354964</v>
      </c>
      <c r="Y54" s="158">
        <f t="shared" si="17"/>
        <v>193487.98213504389</v>
      </c>
      <c r="Z54" s="158">
        <f t="shared" si="17"/>
        <v>204621.28062709427</v>
      </c>
    </row>
    <row r="55" spans="1:26">
      <c r="B55" s="287" t="s">
        <v>477</v>
      </c>
      <c r="H55" s="158">
        <f>H17/((200000)*90%)*10^7</f>
        <v>77038.391071428574</v>
      </c>
      <c r="I55" s="158">
        <f t="shared" ref="I55:Z55" si="18">I17/((200000)*100%)*10^7</f>
        <v>81551.685212348224</v>
      </c>
      <c r="J55" s="158">
        <f t="shared" si="18"/>
        <v>86329.390690513625</v>
      </c>
      <c r="K55" s="158">
        <f t="shared" si="18"/>
        <v>91386.998044117368</v>
      </c>
      <c r="L55" s="158">
        <f t="shared" si="18"/>
        <v>96740.905324531981</v>
      </c>
      <c r="M55" s="158">
        <f t="shared" si="18"/>
        <v>102408.47126296967</v>
      </c>
      <c r="N55" s="158">
        <f t="shared" si="18"/>
        <v>108408.0715519107</v>
      </c>
      <c r="O55" s="158">
        <f t="shared" si="18"/>
        <v>114759.15842377942</v>
      </c>
      <c r="P55" s="158">
        <f t="shared" si="18"/>
        <v>121482.32372003648</v>
      </c>
      <c r="Q55" s="158">
        <f t="shared" si="18"/>
        <v>128599.36565517483</v>
      </c>
      <c r="R55" s="158">
        <f t="shared" si="18"/>
        <v>136133.35949208323</v>
      </c>
      <c r="S55" s="158">
        <f t="shared" si="18"/>
        <v>144108.73235792693</v>
      </c>
      <c r="T55" s="158">
        <f t="shared" si="18"/>
        <v>152551.34244311607</v>
      </c>
      <c r="U55" s="158">
        <f t="shared" si="18"/>
        <v>161488.56284014598</v>
      </c>
      <c r="V55" s="158">
        <f t="shared" si="18"/>
        <v>170949.37029413591</v>
      </c>
      <c r="W55" s="158">
        <f t="shared" si="18"/>
        <v>180964.43915281785</v>
      </c>
      <c r="X55" s="158">
        <f t="shared" si="18"/>
        <v>191566.2408205856</v>
      </c>
      <c r="Y55" s="158">
        <f t="shared" si="18"/>
        <v>202789.14903905967</v>
      </c>
      <c r="Z55" s="158">
        <f t="shared" si="18"/>
        <v>214669.55133551292</v>
      </c>
    </row>
    <row r="56" spans="1:26">
      <c r="B56" s="287" t="s">
        <v>478</v>
      </c>
      <c r="H56" s="158">
        <f>H18/((200000)*90%)*10^7</f>
        <v>36032.882845758926</v>
      </c>
      <c r="I56" s="158">
        <f t="shared" ref="I56:Z56" si="19">I18/((200000)*90%)*10^7</f>
        <v>42340.238805226545</v>
      </c>
      <c r="J56" s="158">
        <f t="shared" si="19"/>
        <v>44776.496146079284</v>
      </c>
      <c r="K56" s="158">
        <f t="shared" si="19"/>
        <v>47352.935734324681</v>
      </c>
      <c r="L56" s="158">
        <f t="shared" si="19"/>
        <v>50077.623656477706</v>
      </c>
      <c r="M56" s="158">
        <f t="shared" si="19"/>
        <v>52959.090121671434</v>
      </c>
      <c r="N56" s="158">
        <f t="shared" si="19"/>
        <v>56006.356167272403</v>
      </c>
      <c r="O56" s="158">
        <f t="shared" si="19"/>
        <v>59228.961901137256</v>
      </c>
      <c r="P56" s="158">
        <f t="shared" si="19"/>
        <v>62636.996368928674</v>
      </c>
      <c r="Q56" s="158">
        <f t="shared" si="19"/>
        <v>66241.129139996818</v>
      </c>
      <c r="R56" s="158">
        <f t="shared" si="19"/>
        <v>70052.643710712218</v>
      </c>
      <c r="S56" s="158">
        <f t="shared" si="19"/>
        <v>74083.472829826613</v>
      </c>
      <c r="T56" s="158">
        <f t="shared" si="19"/>
        <v>78346.235856454805</v>
      </c>
      <c r="U56" s="158">
        <f t="shared" si="19"/>
        <v>82854.278267635236</v>
      </c>
      <c r="V56" s="158">
        <f t="shared" si="19"/>
        <v>87621.713439154948</v>
      </c>
      <c r="W56" s="158">
        <f t="shared" si="19"/>
        <v>92663.466830443926</v>
      </c>
      <c r="X56" s="158">
        <f t="shared" si="19"/>
        <v>97995.322711867615</v>
      </c>
      <c r="Y56" s="158">
        <f t="shared" si="19"/>
        <v>103633.97358070849</v>
      </c>
      <c r="Z56" s="158">
        <f t="shared" si="19"/>
        <v>109597.07242054242</v>
      </c>
    </row>
    <row r="57" spans="1:26">
      <c r="B57" s="1" t="s">
        <v>390</v>
      </c>
      <c r="H57" s="75">
        <f>H28/((673000))*10^7</f>
        <v>37750.570678244854</v>
      </c>
      <c r="I57" s="75">
        <f t="shared" ref="I57:Z57" si="20">I28/((673000))*10^7</f>
        <v>45361.645277043084</v>
      </c>
      <c r="J57" s="75">
        <f t="shared" si="20"/>
        <v>49394.652431659633</v>
      </c>
      <c r="K57" s="75">
        <f t="shared" si="20"/>
        <v>52141.310241576291</v>
      </c>
      <c r="L57" s="75">
        <f t="shared" si="20"/>
        <v>55004.563602222392</v>
      </c>
      <c r="M57" s="75">
        <f t="shared" si="20"/>
        <v>58044.523008719654</v>
      </c>
      <c r="N57" s="75">
        <f t="shared" si="20"/>
        <v>61249.33512889158</v>
      </c>
      <c r="O57" s="75">
        <f t="shared" si="20"/>
        <v>64639.527091469012</v>
      </c>
      <c r="P57" s="75">
        <f t="shared" si="20"/>
        <v>68246.014246087027</v>
      </c>
      <c r="Q57" s="75">
        <f t="shared" si="20"/>
        <v>71968.52869514325</v>
      </c>
      <c r="R57" s="75">
        <f t="shared" si="20"/>
        <v>75911.80781803334</v>
      </c>
      <c r="S57" s="75">
        <f t="shared" si="20"/>
        <v>80079.316485366537</v>
      </c>
      <c r="T57" s="75">
        <f t="shared" si="20"/>
        <v>84455.162419959044</v>
      </c>
      <c r="U57" s="75">
        <f t="shared" si="20"/>
        <v>89067.338448162627</v>
      </c>
      <c r="V57" s="75">
        <f t="shared" si="20"/>
        <v>93930.919914682396</v>
      </c>
      <c r="W57" s="75">
        <f t="shared" si="20"/>
        <v>99096.44713312044</v>
      </c>
      <c r="X57" s="75">
        <f t="shared" si="20"/>
        <v>104556.71890444435</v>
      </c>
      <c r="Y57" s="75">
        <f t="shared" si="20"/>
        <v>110340.93492395119</v>
      </c>
      <c r="Z57" s="75">
        <f t="shared" si="20"/>
        <v>116416.67575980035</v>
      </c>
    </row>
    <row r="58" spans="1:26">
      <c r="B58" s="1" t="s">
        <v>485</v>
      </c>
      <c r="H58" s="75">
        <f>'Cashflow PhenolOption1-Propane'!H19/((223000))*10^7</f>
        <v>67978.242395558147</v>
      </c>
      <c r="I58" s="75">
        <f>'Cashflow PhenolOption1-Propane'!I19/((223000))*10^7</f>
        <v>79546.114659656741</v>
      </c>
      <c r="J58" s="75">
        <f>'Cashflow PhenolOption1-Propane'!J19/((223000))*10^7</f>
        <v>83925.122852828223</v>
      </c>
      <c r="K58" s="75">
        <f>'Cashflow PhenolOption1-Propane'!K19/((223000))*10^7</f>
        <v>88547.185791439304</v>
      </c>
      <c r="L58" s="75">
        <f>'Cashflow PhenolOption1-Propane'!L19/((223000))*10^7</f>
        <v>93425.887743172672</v>
      </c>
      <c r="M58" s="75">
        <f>'Cashflow PhenolOption1-Propane'!M19/((223000))*10^7</f>
        <v>98575.576564867049</v>
      </c>
      <c r="N58" s="75">
        <f>'Cashflow PhenolOption1-Propane'!N19/((223000)*N3)*10^7</f>
        <v>104011.40682720454</v>
      </c>
      <c r="O58" s="75">
        <f>'Cashflow PhenolOption1-Propane'!O19/((223000)*O3)*10^7</f>
        <v>109749.38538424276</v>
      </c>
      <c r="P58" s="75">
        <f>'Cashflow PhenolOption1-Propane'!P19/((223000)*P3)*10^7</f>
        <v>115806.41952682195</v>
      </c>
      <c r="Q58" s="75">
        <f>'Cashflow PhenolOption1-Propane'!Q19/((223000)*Q3)*10^7</f>
        <v>122200.36786680578</v>
      </c>
      <c r="R58" s="75">
        <f>'Cashflow PhenolOption1-Propane'!R19/((223000)*R3)*10^7</f>
        <v>128950.09410749076</v>
      </c>
      <c r="S58" s="75">
        <f>'Cashflow PhenolOption1-Propane'!S19/((223000)*S3)*10^7</f>
        <v>136075.5238643781</v>
      </c>
      <c r="T58" s="75">
        <f>'Cashflow PhenolOption1-Propane'!T19/((223000)*T3)*10^7</f>
        <v>143597.70470986411</v>
      </c>
      <c r="U58" s="75">
        <f>'Cashflow PhenolOption1-Propane'!U19/((223000)*U3)*10^7</f>
        <v>151538.86962530424</v>
      </c>
      <c r="V58" s="75">
        <f>'Cashflow PhenolOption1-Propane'!V19/((223000)*V3)*10^7</f>
        <v>159922.50405436833</v>
      </c>
      <c r="W58" s="75">
        <f>'Cashflow PhenolOption1-Propane'!W19/((223000)*W3)*10^7</f>
        <v>168773.41676266788</v>
      </c>
      <c r="X58" s="75">
        <f>'Cashflow PhenolOption1-Propane'!X19/((223000)*X3)*10^7</f>
        <v>178117.81472032843</v>
      </c>
      <c r="Y58" s="75">
        <f>'Cashflow PhenolOption1-Propane'!Y19/((223000)*Y3)*10^7</f>
        <v>187983.38223654396</v>
      </c>
      <c r="Z58" s="75">
        <f>'Cashflow PhenolOption1-Propane'!Z19/((223000)*Z3)*10^7</f>
        <v>198399.36458821685</v>
      </c>
    </row>
    <row r="59" spans="1:26">
      <c r="B59" s="225" t="s">
        <v>476</v>
      </c>
      <c r="H59" s="75">
        <f>H54-H57</f>
        <v>36998.938488421816</v>
      </c>
      <c r="I59" s="75">
        <f t="shared" ref="I59:Z59" si="21">I54-I57</f>
        <v>33688.950647073572</v>
      </c>
      <c r="J59" s="75">
        <f t="shared" si="21"/>
        <v>34204.514781930688</v>
      </c>
      <c r="K59" s="75">
        <f t="shared" si="21"/>
        <v>36268.153053483991</v>
      </c>
      <c r="L59" s="75">
        <f t="shared" si="21"/>
        <v>38491.980210835667</v>
      </c>
      <c r="M59" s="75">
        <f t="shared" si="21"/>
        <v>40831.811935341757</v>
      </c>
      <c r="N59" s="75">
        <f t="shared" si="21"/>
        <v>43316.34412785108</v>
      </c>
      <c r="O59" s="75">
        <f t="shared" si="21"/>
        <v>45942.861349706633</v>
      </c>
      <c r="P59" s="75">
        <f t="shared" si="21"/>
        <v>48699.284825993804</v>
      </c>
      <c r="Q59" s="75">
        <f t="shared" si="21"/>
        <v>51705.802885545112</v>
      </c>
      <c r="R59" s="75">
        <f t="shared" si="21"/>
        <v>54878.744801807814</v>
      </c>
      <c r="S59" s="75">
        <f t="shared" si="21"/>
        <v>58236.924532220277</v>
      </c>
      <c r="T59" s="75">
        <f t="shared" si="21"/>
        <v>61819.795105779704</v>
      </c>
      <c r="U59" s="75">
        <f t="shared" si="21"/>
        <v>65624.280133607128</v>
      </c>
      <c r="V59" s="75">
        <f t="shared" si="21"/>
        <v>69661.654400282365</v>
      </c>
      <c r="W59" s="75">
        <f t="shared" si="21"/>
        <v>73909.243907927419</v>
      </c>
      <c r="X59" s="75">
        <f t="shared" si="21"/>
        <v>78403.719599105287</v>
      </c>
      <c r="Y59" s="75">
        <f t="shared" si="21"/>
        <v>83147.047211092693</v>
      </c>
      <c r="Z59" s="75">
        <f t="shared" si="21"/>
        <v>88204.604867293921</v>
      </c>
    </row>
    <row r="60" spans="1:26">
      <c r="B60" s="225" t="s">
        <v>486</v>
      </c>
      <c r="H60" s="75">
        <f>(H55*0.62)+(H56*0.38)/323000</f>
        <v>47763.84485591259</v>
      </c>
      <c r="I60" s="75">
        <f t="shared" ref="I60:Z60" si="22">(I55*0.62)+(I56*0.38)/323000</f>
        <v>50562.094643701552</v>
      </c>
      <c r="J60" s="75">
        <f t="shared" si="22"/>
        <v>53524.274906349201</v>
      </c>
      <c r="K60" s="75">
        <f t="shared" si="22"/>
        <v>56659.994496688923</v>
      </c>
      <c r="L60" s="75">
        <f t="shared" si="22"/>
        <v>59979.420216061189</v>
      </c>
      <c r="M60" s="75">
        <f t="shared" si="22"/>
        <v>63493.314487853102</v>
      </c>
      <c r="N60" s="75">
        <f t="shared" si="22"/>
        <v>67213.07025201543</v>
      </c>
      <c r="O60" s="75">
        <f t="shared" si="22"/>
        <v>71150.747903874886</v>
      </c>
      <c r="P60" s="75">
        <f t="shared" si="22"/>
        <v>75319.114397006575</v>
      </c>
      <c r="Q60" s="75">
        <f t="shared" si="22"/>
        <v>79731.684636948557</v>
      </c>
      <c r="R60" s="75">
        <f t="shared" si="22"/>
        <v>84402.765299966559</v>
      </c>
      <c r="S60" s="75">
        <f t="shared" si="22"/>
        <v>89347.501218941557</v>
      </c>
      <c r="T60" s="75">
        <f t="shared" si="22"/>
        <v>94581.924486774151</v>
      </c>
      <c r="U60" s="75">
        <f t="shared" si="22"/>
        <v>100123.00643651199</v>
      </c>
      <c r="V60" s="75">
        <f t="shared" si="22"/>
        <v>105988.71266673302</v>
      </c>
      <c r="W60" s="75">
        <f t="shared" si="22"/>
        <v>112198.0612905904</v>
      </c>
      <c r="X60" s="75">
        <f t="shared" si="22"/>
        <v>118771.18459737803</v>
      </c>
      <c r="Y60" s="75">
        <f t="shared" si="22"/>
        <v>125729.39432653887</v>
      </c>
      <c r="Z60" s="75">
        <f t="shared" si="22"/>
        <v>133095.25076575027</v>
      </c>
    </row>
    <row r="61" spans="1:26">
      <c r="H61" s="616">
        <f>H59/H54</f>
        <v>0.49497232692092236</v>
      </c>
      <c r="I61" s="226"/>
      <c r="J61" s="226"/>
      <c r="K61" s="226"/>
      <c r="L61" s="226"/>
      <c r="M61" s="226"/>
      <c r="N61" s="226"/>
      <c r="P61" s="226"/>
    </row>
    <row r="62" spans="1:26">
      <c r="B62" s="1" t="s">
        <v>75</v>
      </c>
      <c r="I62" s="226"/>
      <c r="J62" s="226"/>
      <c r="K62" s="226"/>
      <c r="L62" s="226"/>
      <c r="M62" s="226"/>
      <c r="N62" s="226"/>
      <c r="P62" s="226"/>
    </row>
    <row r="63" spans="1:26">
      <c r="B63" s="1" t="s">
        <v>74</v>
      </c>
    </row>
    <row r="67" spans="2:13">
      <c r="B67" s="1" t="s">
        <v>38</v>
      </c>
    </row>
    <row r="68" spans="2:13">
      <c r="B68" s="1" t="s">
        <v>39</v>
      </c>
    </row>
    <row r="69" spans="2:13">
      <c r="B69" s="1" t="s">
        <v>40</v>
      </c>
    </row>
    <row r="73" spans="2:13">
      <c r="H73" s="199"/>
      <c r="I73" s="199"/>
      <c r="J73" s="199"/>
      <c r="K73" s="199"/>
      <c r="L73" s="199"/>
      <c r="M73" s="199"/>
    </row>
    <row r="74" spans="2:13">
      <c r="H74" s="231"/>
      <c r="I74" s="231"/>
      <c r="J74" s="231"/>
      <c r="K74" s="231"/>
      <c r="L74" s="231">
        <v>0.05</v>
      </c>
      <c r="M74" s="231"/>
    </row>
    <row r="75" spans="2:13">
      <c r="H75" s="231"/>
      <c r="I75" s="231"/>
      <c r="J75" s="231"/>
      <c r="K75" s="231"/>
      <c r="L75" s="231"/>
      <c r="M75" s="231"/>
    </row>
  </sheetData>
  <mergeCells count="9">
    <mergeCell ref="R4:Z4"/>
    <mergeCell ref="B5:B6"/>
    <mergeCell ref="A7:G7"/>
    <mergeCell ref="J50:N50"/>
    <mergeCell ref="A1:H1"/>
    <mergeCell ref="A2:B2"/>
    <mergeCell ref="A3:B3"/>
    <mergeCell ref="A4:B4"/>
    <mergeCell ref="H4:Q4"/>
  </mergeCells>
  <hyperlinks>
    <hyperlink ref="B39" r:id="rId1" display="NPV@12%" xr:uid="{99DB65BD-8842-417F-B836-1EA398610FC6}"/>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34D84-A8D7-416C-B862-2029FCDE42FB}">
  <sheetPr codeName="Sheet20"/>
  <dimension ref="A1:AB72"/>
  <sheetViews>
    <sheetView showGridLines="0" zoomScaleNormal="100" workbookViewId="0">
      <pane ySplit="9" topLeftCell="A10" activePane="bottomLeft" state="frozen"/>
      <selection activeCell="F23" sqref="F23:I23"/>
      <selection pane="bottomLeft" activeCell="D3" sqref="D3"/>
    </sheetView>
  </sheetViews>
  <sheetFormatPr defaultColWidth="8.7109375" defaultRowHeight="12.75"/>
  <cols>
    <col min="1" max="1" width="8.85546875" style="58"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2" customWidth="1"/>
    <col min="9" max="10" width="14" style="32" customWidth="1"/>
    <col min="11" max="11" width="16" style="32"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7" width="19.28515625" style="32" customWidth="1"/>
    <col min="28" max="16384" width="8.7109375" style="1"/>
  </cols>
  <sheetData>
    <row r="1" spans="1:28">
      <c r="A1" s="1079" t="s">
        <v>461</v>
      </c>
      <c r="B1" s="1080"/>
      <c r="C1" s="166">
        <v>1</v>
      </c>
      <c r="D1" s="166">
        <v>2</v>
      </c>
      <c r="E1" s="166">
        <v>3</v>
      </c>
      <c r="F1" s="166">
        <v>4</v>
      </c>
      <c r="G1" s="166"/>
      <c r="H1" s="166">
        <v>5</v>
      </c>
      <c r="I1" s="166">
        <v>6</v>
      </c>
      <c r="J1" s="166">
        <v>7</v>
      </c>
      <c r="K1" s="166">
        <v>8</v>
      </c>
      <c r="L1" s="166">
        <v>9</v>
      </c>
      <c r="M1" s="166">
        <v>10</v>
      </c>
      <c r="N1" s="166">
        <v>11</v>
      </c>
      <c r="O1" s="166">
        <v>12</v>
      </c>
      <c r="P1" s="166">
        <v>13</v>
      </c>
      <c r="Q1" s="166">
        <v>14</v>
      </c>
      <c r="R1" s="530">
        <v>15</v>
      </c>
      <c r="S1" s="166">
        <v>16</v>
      </c>
      <c r="T1" s="166">
        <v>17</v>
      </c>
      <c r="U1" s="166">
        <v>18</v>
      </c>
      <c r="V1" s="166">
        <v>19</v>
      </c>
      <c r="W1" s="166">
        <v>20</v>
      </c>
      <c r="X1" s="166">
        <v>21</v>
      </c>
      <c r="Y1" s="166">
        <v>22</v>
      </c>
      <c r="Z1" s="166">
        <v>23</v>
      </c>
      <c r="AA1" s="531">
        <v>24</v>
      </c>
    </row>
    <row r="2" spans="1:28" ht="12" customHeight="1">
      <c r="A2" s="1088" t="s">
        <v>462</v>
      </c>
      <c r="B2" s="1089"/>
      <c r="C2" s="158"/>
      <c r="D2" s="158"/>
      <c r="E2" s="158"/>
      <c r="F2" s="158"/>
      <c r="G2" s="158"/>
      <c r="H2" s="168">
        <v>0.9</v>
      </c>
      <c r="I2" s="168">
        <v>1</v>
      </c>
      <c r="J2" s="168">
        <v>1</v>
      </c>
      <c r="K2" s="168">
        <v>1</v>
      </c>
      <c r="L2" s="168">
        <v>1</v>
      </c>
      <c r="M2" s="168">
        <v>1</v>
      </c>
      <c r="N2" s="168">
        <v>1</v>
      </c>
      <c r="O2" s="168">
        <v>1</v>
      </c>
      <c r="P2" s="168">
        <v>1</v>
      </c>
      <c r="Q2" s="168">
        <v>1</v>
      </c>
      <c r="R2" s="532">
        <v>1</v>
      </c>
      <c r="S2" s="168">
        <v>1</v>
      </c>
      <c r="T2" s="168">
        <v>1</v>
      </c>
      <c r="U2" s="168">
        <v>1</v>
      </c>
      <c r="V2" s="168">
        <v>1</v>
      </c>
      <c r="W2" s="168">
        <v>1</v>
      </c>
      <c r="X2" s="168">
        <v>1</v>
      </c>
      <c r="Y2" s="168">
        <v>1</v>
      </c>
      <c r="Z2" s="168">
        <v>1</v>
      </c>
      <c r="AA2" s="533">
        <v>1</v>
      </c>
    </row>
    <row r="3" spans="1:28" s="167" customFormat="1" ht="15" customHeight="1">
      <c r="A3" s="1086"/>
      <c r="B3" s="169" t="s">
        <v>24</v>
      </c>
      <c r="C3" s="169"/>
      <c r="D3" s="169"/>
      <c r="E3" s="169"/>
      <c r="F3" s="169"/>
      <c r="G3" s="170"/>
      <c r="H3" s="1078" t="s">
        <v>25</v>
      </c>
      <c r="I3" s="1078"/>
      <c r="J3" s="1078"/>
      <c r="K3" s="1078"/>
      <c r="L3" s="1078"/>
      <c r="M3" s="1078"/>
      <c r="N3" s="1078"/>
      <c r="O3" s="1078"/>
      <c r="P3" s="1078"/>
      <c r="Q3" s="1078"/>
      <c r="R3" s="1095" t="s">
        <v>25</v>
      </c>
      <c r="S3" s="1078"/>
      <c r="T3" s="1078"/>
      <c r="U3" s="1078"/>
      <c r="V3" s="1078"/>
      <c r="W3" s="1078"/>
      <c r="X3" s="1078"/>
      <c r="Y3" s="1078"/>
      <c r="Z3" s="1078"/>
      <c r="AA3" s="1096"/>
    </row>
    <row r="4" spans="1:28" s="167" customFormat="1" ht="15" customHeight="1">
      <c r="A4" s="1090"/>
      <c r="B4" s="1081" t="s">
        <v>26</v>
      </c>
      <c r="C4" s="171">
        <v>2023</v>
      </c>
      <c r="D4" s="171">
        <v>2024</v>
      </c>
      <c r="E4" s="171">
        <v>2025</v>
      </c>
      <c r="F4" s="171">
        <v>2026</v>
      </c>
      <c r="G4" s="171" t="s">
        <v>150</v>
      </c>
      <c r="H4" s="171">
        <v>2027</v>
      </c>
      <c r="I4" s="171">
        <v>2028</v>
      </c>
      <c r="J4" s="171">
        <v>2029</v>
      </c>
      <c r="K4" s="171">
        <v>2030</v>
      </c>
      <c r="L4" s="171">
        <v>2031</v>
      </c>
      <c r="M4" s="171">
        <v>2032</v>
      </c>
      <c r="N4" s="171">
        <v>2033</v>
      </c>
      <c r="O4" s="171">
        <v>2034</v>
      </c>
      <c r="P4" s="171">
        <v>2035</v>
      </c>
      <c r="Q4" s="534">
        <v>2036</v>
      </c>
      <c r="R4" s="171">
        <v>2037</v>
      </c>
      <c r="S4" s="171">
        <v>2038</v>
      </c>
      <c r="T4" s="171">
        <v>2039</v>
      </c>
      <c r="U4" s="171">
        <v>2040</v>
      </c>
      <c r="V4" s="171">
        <v>2041</v>
      </c>
      <c r="W4" s="171">
        <v>2042</v>
      </c>
      <c r="X4" s="171">
        <v>2043</v>
      </c>
      <c r="Y4" s="171">
        <v>2044</v>
      </c>
      <c r="Z4" s="171">
        <v>2045</v>
      </c>
      <c r="AA4" s="171">
        <v>2046</v>
      </c>
    </row>
    <row r="5" spans="1:28">
      <c r="A5" s="1091"/>
      <c r="B5" s="1082"/>
      <c r="C5" s="172">
        <v>0.05</v>
      </c>
      <c r="D5" s="172">
        <v>0.25</v>
      </c>
      <c r="E5" s="172">
        <v>0.35</v>
      </c>
      <c r="F5" s="172">
        <v>0.35</v>
      </c>
      <c r="G5" s="173"/>
      <c r="H5" s="174"/>
      <c r="I5" s="174"/>
      <c r="J5" s="174"/>
      <c r="K5" s="174"/>
      <c r="L5" s="174"/>
      <c r="M5" s="174"/>
      <c r="N5" s="175"/>
      <c r="O5" s="174"/>
      <c r="P5" s="175"/>
      <c r="Q5" s="174"/>
      <c r="R5" s="535"/>
      <c r="S5" s="176"/>
      <c r="T5" s="176"/>
      <c r="U5" s="176"/>
      <c r="V5" s="176"/>
      <c r="W5" s="176"/>
      <c r="X5" s="176"/>
      <c r="Y5" s="176"/>
      <c r="Z5" s="176"/>
      <c r="AA5" s="536"/>
    </row>
    <row r="6" spans="1:28">
      <c r="A6" s="1084" t="s">
        <v>241</v>
      </c>
      <c r="B6" s="1085"/>
      <c r="C6" s="1085"/>
      <c r="D6" s="1085"/>
      <c r="E6" s="1085"/>
      <c r="F6" s="1085"/>
      <c r="G6" s="1085"/>
      <c r="H6" s="177"/>
      <c r="I6" s="177"/>
      <c r="J6" s="177"/>
      <c r="K6" s="177"/>
      <c r="L6" s="177"/>
      <c r="M6" s="177"/>
      <c r="N6" s="178"/>
      <c r="O6" s="177"/>
      <c r="P6" s="178"/>
      <c r="Q6" s="177"/>
      <c r="R6" s="537"/>
      <c r="S6" s="179"/>
      <c r="T6" s="179"/>
      <c r="U6" s="179"/>
      <c r="V6" s="179"/>
      <c r="W6" s="179"/>
      <c r="X6" s="179"/>
      <c r="Y6" s="179"/>
      <c r="Z6" s="179"/>
      <c r="AA6" s="538"/>
    </row>
    <row r="7" spans="1:28">
      <c r="A7" s="180">
        <v>1</v>
      </c>
      <c r="B7" s="181" t="s">
        <v>239</v>
      </c>
      <c r="C7" s="182">
        <f>ROUND($G7*C$5,2)</f>
        <v>-88.43</v>
      </c>
      <c r="D7" s="182">
        <f>ROUND($G7*D$5,2)</f>
        <v>-442.17</v>
      </c>
      <c r="E7" s="182">
        <f>ROUND($G7*E$5,2)</f>
        <v>-619.04</v>
      </c>
      <c r="F7" s="182">
        <f>ROUND($G7*F$5,2)</f>
        <v>-619.04</v>
      </c>
      <c r="G7" s="587">
        <f>-[11]Capex!D22</f>
        <v>-1768.675</v>
      </c>
      <c r="H7" s="183"/>
      <c r="I7" s="183"/>
      <c r="J7" s="183"/>
      <c r="K7" s="183"/>
      <c r="L7" s="183"/>
      <c r="M7" s="183"/>
      <c r="N7" s="185"/>
      <c r="O7" s="183"/>
      <c r="P7" s="183"/>
      <c r="Q7" s="183"/>
      <c r="R7" s="539"/>
      <c r="S7" s="186"/>
      <c r="T7" s="186"/>
      <c r="U7" s="186"/>
      <c r="V7" s="186"/>
      <c r="W7" s="186"/>
      <c r="X7" s="186"/>
      <c r="Y7" s="186"/>
      <c r="Z7" s="186"/>
      <c r="AA7" s="540"/>
    </row>
    <row r="8" spans="1:28">
      <c r="A8" s="187"/>
      <c r="B8" s="541" t="s">
        <v>240</v>
      </c>
      <c r="C8" s="542">
        <f>SUM(C7:C7)</f>
        <v>-88.43</v>
      </c>
      <c r="D8" s="542">
        <f>SUM(D7:D7)</f>
        <v>-442.17</v>
      </c>
      <c r="E8" s="542">
        <f>SUM(E7:E7)</f>
        <v>-619.04</v>
      </c>
      <c r="F8" s="542">
        <f>SUM(F7:F7)</f>
        <v>-619.04</v>
      </c>
      <c r="G8" s="242">
        <f>G7</f>
        <v>-1768.675</v>
      </c>
      <c r="H8" s="191"/>
      <c r="I8" s="191"/>
      <c r="J8" s="191"/>
      <c r="K8" s="191"/>
      <c r="L8" s="191"/>
      <c r="M8" s="191"/>
      <c r="N8" s="192"/>
      <c r="O8" s="192"/>
      <c r="P8" s="192"/>
      <c r="Q8" s="192"/>
      <c r="R8" s="543"/>
      <c r="S8" s="193"/>
      <c r="T8" s="193"/>
      <c r="U8" s="193"/>
      <c r="V8" s="193"/>
      <c r="W8" s="193"/>
      <c r="X8" s="193"/>
      <c r="Y8" s="193"/>
      <c r="Z8" s="193"/>
      <c r="AA8" s="544"/>
    </row>
    <row r="9" spans="1:28">
      <c r="A9" s="53"/>
      <c r="B9" s="545" t="s">
        <v>221</v>
      </c>
      <c r="C9" s="545"/>
      <c r="D9" s="545"/>
      <c r="E9" s="545"/>
      <c r="F9" s="545"/>
      <c r="G9" s="546"/>
      <c r="H9" s="547">
        <v>0.9</v>
      </c>
      <c r="I9" s="547">
        <v>0.9</v>
      </c>
      <c r="J9" s="547">
        <v>1</v>
      </c>
      <c r="K9" s="547">
        <v>1</v>
      </c>
      <c r="L9" s="547">
        <v>1</v>
      </c>
      <c r="M9" s="547">
        <v>1</v>
      </c>
      <c r="N9" s="547">
        <v>1</v>
      </c>
      <c r="O9" s="547">
        <v>1</v>
      </c>
      <c r="P9" s="547">
        <v>1</v>
      </c>
      <c r="Q9" s="547">
        <v>1</v>
      </c>
      <c r="R9" s="548">
        <v>1</v>
      </c>
      <c r="S9" s="547">
        <v>1</v>
      </c>
      <c r="T9" s="547">
        <v>1</v>
      </c>
      <c r="U9" s="547">
        <v>1</v>
      </c>
      <c r="V9" s="547">
        <v>1</v>
      </c>
      <c r="W9" s="547">
        <v>1</v>
      </c>
      <c r="X9" s="547">
        <v>1</v>
      </c>
      <c r="Y9" s="547">
        <v>1</v>
      </c>
      <c r="Z9" s="547">
        <v>1</v>
      </c>
      <c r="AA9" s="549">
        <v>1</v>
      </c>
    </row>
    <row r="10" spans="1:28" s="167" customFormat="1">
      <c r="A10" s="194">
        <v>2</v>
      </c>
      <c r="B10" s="195" t="s">
        <v>27</v>
      </c>
      <c r="C10" s="195"/>
      <c r="D10" s="195"/>
      <c r="E10" s="195"/>
      <c r="F10" s="195"/>
      <c r="G10" s="196"/>
      <c r="H10" s="197">
        <f>H11+H12</f>
        <v>2035.2829305093751</v>
      </c>
      <c r="I10" s="197">
        <f>I11+I12</f>
        <v>2393.1580027410423</v>
      </c>
      <c r="J10" s="197">
        <f t="shared" ref="J10:AA10" si="0">J11+J12</f>
        <v>2532.5647444396996</v>
      </c>
      <c r="K10" s="197">
        <f t="shared" si="0"/>
        <v>2680.0928041001916</v>
      </c>
      <c r="L10" s="197">
        <f t="shared" si="0"/>
        <v>2836.215332307238</v>
      </c>
      <c r="M10" s="197">
        <f t="shared" si="0"/>
        <v>3001.4330474494791</v>
      </c>
      <c r="N10" s="197">
        <f t="shared" si="0"/>
        <v>3176.2758420491173</v>
      </c>
      <c r="O10" s="197">
        <f t="shared" si="0"/>
        <v>3361.304482696059</v>
      </c>
      <c r="P10" s="197">
        <f t="shared" si="0"/>
        <v>3557.112409041446</v>
      </c>
      <c r="Q10" s="197">
        <f t="shared" si="0"/>
        <v>3764.3276376234389</v>
      </c>
      <c r="R10" s="550">
        <f t="shared" si="0"/>
        <v>3983.6147766344848</v>
      </c>
      <c r="S10" s="197">
        <f t="shared" si="0"/>
        <v>4215.6771580954173</v>
      </c>
      <c r="T10" s="197">
        <f t="shared" si="0"/>
        <v>4461.2590942785073</v>
      </c>
      <c r="U10" s="197">
        <f t="shared" si="0"/>
        <v>4721.1482656203543</v>
      </c>
      <c r="V10" s="197">
        <f t="shared" si="0"/>
        <v>4996.1782477875067</v>
      </c>
      <c r="W10" s="197">
        <f t="shared" si="0"/>
        <v>5287.2311860043483</v>
      </c>
      <c r="X10" s="197">
        <f t="shared" si="0"/>
        <v>5595.2406252253295</v>
      </c>
      <c r="Y10" s="197">
        <f t="shared" si="0"/>
        <v>5921.1945052339461</v>
      </c>
      <c r="Z10" s="197">
        <f t="shared" si="0"/>
        <v>6266.1383302800223</v>
      </c>
      <c r="AA10" s="551">
        <f t="shared" si="0"/>
        <v>6631.1785234272465</v>
      </c>
    </row>
    <row r="11" spans="1:28">
      <c r="A11" s="52"/>
      <c r="B11" s="162" t="s">
        <v>455</v>
      </c>
      <c r="C11" s="162"/>
      <c r="D11" s="162"/>
      <c r="E11" s="162"/>
      <c r="F11" s="162"/>
      <c r="G11" s="201"/>
      <c r="H11" s="202">
        <v>1386.6910392857144</v>
      </c>
      <c r="I11" s="202">
        <v>1631.0337042469644</v>
      </c>
      <c r="J11" s="202">
        <v>1726.5878138102726</v>
      </c>
      <c r="K11" s="202">
        <v>1827.7399608823475</v>
      </c>
      <c r="L11" s="202">
        <v>1934.8181064906394</v>
      </c>
      <c r="M11" s="202">
        <v>2048.1694252593934</v>
      </c>
      <c r="N11" s="202">
        <v>2168.1614310382142</v>
      </c>
      <c r="O11" s="202">
        <v>2295.1831684755884</v>
      </c>
      <c r="P11" s="202">
        <v>2429.6464744007299</v>
      </c>
      <c r="Q11" s="202">
        <v>2571.9873131034965</v>
      </c>
      <c r="R11" s="202">
        <v>2722.6671898416648</v>
      </c>
      <c r="S11" s="202">
        <v>2882.1746471585388</v>
      </c>
      <c r="T11" s="202">
        <v>3051.026848862321</v>
      </c>
      <c r="U11" s="202">
        <v>3229.7712568029201</v>
      </c>
      <c r="V11" s="202">
        <v>3418.9874058827181</v>
      </c>
      <c r="W11" s="202">
        <v>3619.2887830563573</v>
      </c>
      <c r="X11" s="202">
        <v>3831.3248164117126</v>
      </c>
      <c r="Y11" s="202">
        <v>4055.7829807811931</v>
      </c>
      <c r="Z11" s="202">
        <v>4293.3910267102583</v>
      </c>
      <c r="AA11" s="202">
        <v>4544.9193400100785</v>
      </c>
    </row>
    <row r="12" spans="1:28">
      <c r="A12" s="52"/>
      <c r="B12" s="162" t="s">
        <v>456</v>
      </c>
      <c r="C12" s="162"/>
      <c r="D12" s="162"/>
      <c r="E12" s="162"/>
      <c r="F12" s="162"/>
      <c r="G12" s="201"/>
      <c r="H12" s="202">
        <v>648.5918912236607</v>
      </c>
      <c r="I12" s="202">
        <v>762.12429849407783</v>
      </c>
      <c r="J12" s="202">
        <v>805.97693062942699</v>
      </c>
      <c r="K12" s="202">
        <v>852.35284321784422</v>
      </c>
      <c r="L12" s="202">
        <v>901.39722581659873</v>
      </c>
      <c r="M12" s="202">
        <v>953.26362219008581</v>
      </c>
      <c r="N12" s="202">
        <v>1008.1144110109032</v>
      </c>
      <c r="O12" s="202">
        <v>1066.1213142204706</v>
      </c>
      <c r="P12" s="202">
        <v>1127.4659346407161</v>
      </c>
      <c r="Q12" s="202">
        <v>1192.3403245199427</v>
      </c>
      <c r="R12" s="202">
        <v>1260.9475867928199</v>
      </c>
      <c r="S12" s="202">
        <v>1333.5025109368789</v>
      </c>
      <c r="T12" s="202">
        <v>1410.2322454161865</v>
      </c>
      <c r="U12" s="202">
        <v>1491.3770088174342</v>
      </c>
      <c r="V12" s="202">
        <v>1577.1908419047888</v>
      </c>
      <c r="W12" s="202">
        <v>1667.9424029479906</v>
      </c>
      <c r="X12" s="202">
        <v>1763.9158088136171</v>
      </c>
      <c r="Y12" s="202">
        <v>1865.4115244527527</v>
      </c>
      <c r="Z12" s="202">
        <v>1972.7473035697635</v>
      </c>
      <c r="AA12" s="202">
        <v>2086.2591834171676</v>
      </c>
    </row>
    <row r="13" spans="1:28">
      <c r="A13" s="194">
        <v>5</v>
      </c>
      <c r="B13" s="195" t="s">
        <v>107</v>
      </c>
      <c r="C13" s="195"/>
      <c r="D13" s="195"/>
      <c r="E13" s="195"/>
      <c r="F13" s="195"/>
      <c r="G13" s="207"/>
      <c r="H13" s="183"/>
      <c r="I13" s="183"/>
      <c r="J13" s="183"/>
      <c r="K13" s="183"/>
      <c r="L13" s="183"/>
      <c r="M13" s="183"/>
      <c r="N13" s="183"/>
      <c r="O13" s="183"/>
      <c r="P13" s="183"/>
      <c r="Q13" s="183"/>
      <c r="R13" s="539"/>
      <c r="S13" s="186"/>
      <c r="T13" s="186"/>
      <c r="U13" s="186"/>
      <c r="V13" s="186"/>
      <c r="W13" s="186"/>
      <c r="X13" s="186"/>
      <c r="Y13" s="186"/>
      <c r="Z13" s="186"/>
      <c r="AA13" s="540"/>
    </row>
    <row r="14" spans="1:28">
      <c r="A14" s="52"/>
      <c r="B14" s="17" t="s">
        <v>463</v>
      </c>
      <c r="C14" s="17"/>
      <c r="D14" s="17"/>
      <c r="E14" s="17"/>
      <c r="F14" s="17"/>
      <c r="G14" s="208">
        <f>J14/$J$19</f>
        <v>0.80332146321619136</v>
      </c>
      <c r="H14" s="202">
        <f>IF(H$1&lt;=$H$56,0,'Opex Phenol'!D4*H$2*(1+$H$55)^(H$1-$H$56-1))</f>
        <v>1209.860012314324</v>
      </c>
      <c r="I14" s="202">
        <f>IF(I$1&lt;=$H$56,0,'Opex Phenol'!E4*I$2*(1+$H$55)^(I$1-$H$56-1))</f>
        <v>1421.6392860254332</v>
      </c>
      <c r="J14" s="202">
        <f>IF(J$1&lt;=$H$56,0,'Opex Phenol'!F4*J$2*(1+$H$55)^(J$1-$H$56-1))</f>
        <v>1503.4404105433366</v>
      </c>
      <c r="K14" s="202">
        <f>IF(K$1&lt;=$H$56,0,'Opex Phenol'!G4*K$2*(1+$H$55)^(K$1-$H$56-1))</f>
        <v>1589.9483717660003</v>
      </c>
      <c r="L14" s="202">
        <f>IF(L$1&lt;=$H$56,0,'Opex Phenol'!H4*L$2*(1+$H$55)^(L$1-$H$56-1))</f>
        <v>1681.4340010774154</v>
      </c>
      <c r="M14" s="202">
        <f>IF(M$1&lt;=$H$56,0,'Opex Phenol'!I4*M$2*(1+$H$55)^(M$1-$H$56-1))</f>
        <v>1778.18371349941</v>
      </c>
      <c r="N14" s="202">
        <f>IF(N$1&lt;=$H$56,0,'Opex Phenol'!J4*N$2*(1+$H$55)^(N$1-$H$56-1))</f>
        <v>1880.5004043741656</v>
      </c>
      <c r="O14" s="202">
        <f>IF(O$1&lt;=$H$56,0,'Opex Phenol'!K4*O$2*(1+$H$55)^(O$1-$H$56-1))</f>
        <v>1988.7043976418554</v>
      </c>
      <c r="P14" s="202">
        <f>IF(P$1&lt;=$H$56,0,'Opex Phenol'!L4*P$2*(1+$H$55)^(P$1-$H$56-1))</f>
        <v>2103.1344486821672</v>
      </c>
      <c r="Q14" s="202">
        <f>IF(Q$1&lt;=$H$56,0,'Opex Phenol'!M4*Q$2*(1+$H$55)^(Q$1-$H$56-1))</f>
        <v>2224.1488048593387</v>
      </c>
      <c r="R14" s="202">
        <f>IF(R$1&lt;=$H$56,0,'Opex Phenol'!N4*R$2*(1+$H$55)^(R$1-$H$56-1))</f>
        <v>2352.1263270909449</v>
      </c>
      <c r="S14" s="202">
        <f>IF(S$1&lt;=$H$56,0,'Opex Phenol'!O4*S$2*(1+$H$55)^(S$1-$H$56-1))</f>
        <v>2487.4676759517574</v>
      </c>
      <c r="T14" s="202">
        <f>IF(T$1&lt;=$H$56,0,'Opex Phenol'!P4*T$2*(1+$H$55)^(T$1-$H$56-1))</f>
        <v>2630.5965660260213</v>
      </c>
      <c r="U14" s="202">
        <f>IF(U$1&lt;=$H$56,0,'Opex Phenol'!Q4*U$2*(1+$H$55)^(U$1-$H$56-1))</f>
        <v>2781.9610924351587</v>
      </c>
      <c r="V14" s="202">
        <f>IF(V$1&lt;=$H$56,0,'Opex Phenol'!R4*V$2*(1+$H$55)^(V$1-$H$56-1))</f>
        <v>2942.035133693877</v>
      </c>
      <c r="W14" s="202">
        <f>IF(W$1&lt;=$H$56,0,'Opex Phenol'!S4*W$2*(1+$H$55)^(W$1-$H$56-1))</f>
        <v>3111.3198352866229</v>
      </c>
      <c r="X14" s="202">
        <f>IF(X$1&lt;=$H$56,0,'Opex Phenol'!T4*X$2*(1+$H$55)^(X$1-$H$56-1))</f>
        <v>3290.3451786090136</v>
      </c>
      <c r="Y14" s="202">
        <f>IF(Y$1&lt;=$H$56,0,'Opex Phenol'!U4*Y$2*(1+$H$55)^(Y$1-$H$56-1))</f>
        <v>3479.6716401861768</v>
      </c>
      <c r="Z14" s="202">
        <f>IF(Z$1&lt;=$H$56,0,'Opex Phenol'!V4*Z$2*(1+$H$55)^(Z$1-$H$56-1))</f>
        <v>3679.8919463624884</v>
      </c>
      <c r="AA14" s="202">
        <f>IF(AA$1&lt;=$H$56,0,'Opex Phenol'!W4*AA$2*(1+$H$55)^(AA$1-$H$56-1))</f>
        <v>3891.6329289561859</v>
      </c>
    </row>
    <row r="15" spans="1:28">
      <c r="A15" s="52"/>
      <c r="B15" s="17" t="s">
        <v>29</v>
      </c>
      <c r="C15" s="17"/>
      <c r="D15" s="17"/>
      <c r="E15" s="17"/>
      <c r="F15" s="17"/>
      <c r="G15" s="208">
        <f>J15/$J$19</f>
        <v>1.5701799590476826E-2</v>
      </c>
      <c r="H15" s="202">
        <f>IF(H$1&lt;=$H$56,0,'Opex Phenol'!$D$7*(1+$H$55)^(H$1-$H$56-1))</f>
        <v>26.91</v>
      </c>
      <c r="I15" s="202">
        <f>IF(I$1&lt;=$H$56,0,'Opex Phenol'!$D$7*(1+$H$55)^(I$1-$H$56-1))</f>
        <v>28.120949999999997</v>
      </c>
      <c r="J15" s="202">
        <f>IF(J$1&lt;=$H$56,0,'Opex Phenol'!$D$7*(1+$H$55)^(J$1-$H$56-1))</f>
        <v>29.386392749999995</v>
      </c>
      <c r="K15" s="202">
        <f>IF(K$1&lt;=$H$56,0,'Opex Phenol'!$D$7*(1+$H$55)^(K$1-$H$56-1))</f>
        <v>30.708780423749996</v>
      </c>
      <c r="L15" s="202">
        <f>IF(L$1&lt;=$H$56,0,'Opex Phenol'!$D$7*(1+$H$55)^(L$1-$H$56-1))</f>
        <v>32.090675542818737</v>
      </c>
      <c r="M15" s="202">
        <f>IF(M$1&lt;=$H$56,0,'Opex Phenol'!$D$7*(1+$H$55)^(M$1-$H$56-1))</f>
        <v>33.534755942245582</v>
      </c>
      <c r="N15" s="202">
        <f>IF(N$1&lt;=$H$56,0,'Opex Phenol'!$D$7*(1+$H$55)^(N$1-$H$56-1))</f>
        <v>35.043819959646619</v>
      </c>
      <c r="O15" s="202">
        <f>IF(O$1&lt;=$H$56,0,'Opex Phenol'!$D$7*(1+$H$55)^(O$1-$H$56-1))</f>
        <v>36.620791857830724</v>
      </c>
      <c r="P15" s="202">
        <f>IF(P$1&lt;=$H$56,0,'Opex Phenol'!$D$7*(1+$H$55)^(P$1-$H$56-1))</f>
        <v>38.26872749143309</v>
      </c>
      <c r="Q15" s="202">
        <f>IF(Q$1&lt;=$H$56,0,'Opex Phenol'!$D$7*(1+$H$55)^(Q$1-$H$56-1))</f>
        <v>39.990820228547577</v>
      </c>
      <c r="R15" s="202">
        <f>IF(R$1&lt;=$H$56,0,'Opex Phenol'!$D$7*(1+$H$55)^(R$1-$H$56-1))</f>
        <v>41.790407138832215</v>
      </c>
      <c r="S15" s="202">
        <f>IF(S$1&lt;=$H$56,0,'Opex Phenol'!$D$7*(1+$H$55)^(S$1-$H$56-1))</f>
        <v>43.67097546007966</v>
      </c>
      <c r="T15" s="202">
        <f>IF(T$1&lt;=$H$56,0,'Opex Phenol'!$D$7*(1+$H$55)^(T$1-$H$56-1))</f>
        <v>45.636169355783238</v>
      </c>
      <c r="U15" s="202">
        <f>IF(U$1&lt;=$H$56,0,'Opex Phenol'!$D$7*(1+$H$55)^(U$1-$H$56-1))</f>
        <v>47.689796976793488</v>
      </c>
      <c r="V15" s="202">
        <f>IF(V$1&lt;=$H$56,0,'Opex Phenol'!$D$7*(1+$H$55)^(V$1-$H$56-1))</f>
        <v>49.835837840749178</v>
      </c>
      <c r="W15" s="202">
        <f>IF(W$1&lt;=$H$56,0,'Opex Phenol'!$D$7*(1+$H$55)^(W$1-$H$56-1))</f>
        <v>52.078450543582896</v>
      </c>
      <c r="X15" s="202">
        <f>IF(X$1&lt;=$H$56,0,'Opex Phenol'!$D$7*(1+$H$55)^(X$1-$H$56-1))</f>
        <v>54.421980818044105</v>
      </c>
      <c r="Y15" s="202">
        <f>IF(Y$1&lt;=$H$56,0,'Opex Phenol'!$D$7*(1+$H$55)^(Y$1-$H$56-1))</f>
        <v>56.870969954856093</v>
      </c>
      <c r="Z15" s="202">
        <f>IF(Z$1&lt;=$H$56,0,'Opex Phenol'!$D$7*(1+$H$55)^(Z$1-$H$56-1))</f>
        <v>59.430163602824607</v>
      </c>
      <c r="AA15" s="202">
        <f>IF(AA$1&lt;=$H$56,0,'Opex Phenol'!$D$7*(1+$H$55)^(AA$1-$H$56-1))</f>
        <v>62.10452096495171</v>
      </c>
    </row>
    <row r="16" spans="1:28">
      <c r="A16" s="52"/>
      <c r="B16" s="17" t="s">
        <v>17</v>
      </c>
      <c r="C16" s="17"/>
      <c r="D16" s="17"/>
      <c r="E16" s="17"/>
      <c r="F16" s="17"/>
      <c r="G16" s="208">
        <f>J16/$J$19</f>
        <v>0.11615885025674834</v>
      </c>
      <c r="H16" s="202">
        <f>IF(H$1&lt;=$H$56,0,'Opex Phenol'!$D$9*H$2*(1+$H$55)^(H$1-$H$56-1))</f>
        <v>179.16743734740004</v>
      </c>
      <c r="I16" s="202">
        <f>IF(I$1&lt;=$H$56,0,'Opex Phenol'!$D$9*I$2*(1+$H$55)^(I$1-$H$56-1))</f>
        <v>208.03330225337001</v>
      </c>
      <c r="J16" s="202">
        <f>IF(J$1&lt;=$H$56,0,'Opex Phenol'!$D$9*J$2*(1+$H$55)^(J$1-$H$56-1))</f>
        <v>217.39480085477166</v>
      </c>
      <c r="K16" s="202">
        <f>IF(K$1&lt;=$H$56,0,'Opex Phenol'!$D$9*K$2*(1+$H$55)^(K$1-$H$56-1))</f>
        <v>227.17756689323639</v>
      </c>
      <c r="L16" s="202">
        <f>IF(L$1&lt;=$H$56,0,'Opex Phenol'!$D$9*L$2*(1+$H$55)^(L$1-$H$56-1))</f>
        <v>237.40055740343195</v>
      </c>
      <c r="M16" s="202">
        <f>IF(M$1&lt;=$H$56,0,'Opex Phenol'!$D$9*M$2*(1+$H$55)^(M$1-$H$56-1))</f>
        <v>248.08358248658638</v>
      </c>
      <c r="N16" s="202">
        <f>IF(N$1&lt;=$H$56,0,'Opex Phenol'!$D$9*N$2*(1+$H$55)^(N$1-$H$56-1))</f>
        <v>259.24734369848272</v>
      </c>
      <c r="O16" s="202">
        <f>IF(O$1&lt;=$H$56,0,'Opex Phenol'!$D$9*O$2*(1+$H$55)^(O$1-$H$56-1))</f>
        <v>270.91347416491448</v>
      </c>
      <c r="P16" s="202">
        <f>IF(P$1&lt;=$H$56,0,'Opex Phenol'!$D$9*P$2*(1+$H$55)^(P$1-$H$56-1))</f>
        <v>283.10458050233552</v>
      </c>
      <c r="Q16" s="202">
        <f>IF(Q$1&lt;=$H$56,0,'Opex Phenol'!$D$9*Q$2*(1+$H$55)^(Q$1-$H$56-1))</f>
        <v>295.84428662494059</v>
      </c>
      <c r="R16" s="202">
        <f>IF(R$1&lt;=$H$56,0,'Opex Phenol'!$D$9*R$2*(1+$H$55)^(R$1-$H$56-1))</f>
        <v>309.15727952306287</v>
      </c>
      <c r="S16" s="202">
        <f>IF(S$1&lt;=$H$56,0,'Opex Phenol'!$D$9*S$2*(1+$H$55)^(S$1-$H$56-1))</f>
        <v>323.0693571016007</v>
      </c>
      <c r="T16" s="202">
        <f>IF(T$1&lt;=$H$56,0,'Opex Phenol'!$D$9*T$2*(1+$H$55)^(T$1-$H$56-1))</f>
        <v>337.60747817117266</v>
      </c>
      <c r="U16" s="202">
        <f>IF(U$1&lt;=$H$56,0,'Opex Phenol'!$D$9*U$2*(1+$H$55)^(U$1-$H$56-1))</f>
        <v>352.79981468887541</v>
      </c>
      <c r="V16" s="202">
        <f>IF(V$1&lt;=$H$56,0,'Opex Phenol'!$D$9*V$2*(1+$H$55)^(V$1-$H$56-1))</f>
        <v>368.67580634987473</v>
      </c>
      <c r="W16" s="202">
        <f>IF(W$1&lt;=$H$56,0,'Opex Phenol'!$D$9*W$2*(1+$H$55)^(W$1-$H$56-1))</f>
        <v>385.26621763561917</v>
      </c>
      <c r="X16" s="202">
        <f>IF(X$1&lt;=$H$56,0,'Opex Phenol'!$D$9*X$2*(1+$H$55)^(X$1-$H$56-1))</f>
        <v>402.60319742922184</v>
      </c>
      <c r="Y16" s="202">
        <f>IF(Y$1&lt;=$H$56,0,'Opex Phenol'!$D$9*Y$2*(1+$H$55)^(Y$1-$H$56-1))</f>
        <v>420.72034131353684</v>
      </c>
      <c r="Z16" s="202">
        <f>IF(Z$1&lt;=$H$56,0,'Opex Phenol'!$D$9*Z$2*(1+$H$55)^(Z$1-$H$56-1))</f>
        <v>439.65275667264592</v>
      </c>
      <c r="AA16" s="202">
        <f>IF(AA$1&lt;=$H$56,0,'Opex Phenol'!$D$9*AA$2*(1+$H$55)^(AA$1-$H$56-1))</f>
        <v>459.43713072291496</v>
      </c>
      <c r="AB16" s="202"/>
    </row>
    <row r="17" spans="1:27">
      <c r="A17" s="52"/>
      <c r="B17" s="17" t="s">
        <v>20</v>
      </c>
      <c r="C17" s="17"/>
      <c r="D17" s="17"/>
      <c r="E17" s="17"/>
      <c r="F17" s="17"/>
      <c r="G17" s="208">
        <f>J17/$J$19</f>
        <v>1.7818791000494282E-2</v>
      </c>
      <c r="H17" s="202">
        <f>IF(H$1&lt;=$H$56,0,'Opex Phenol'!$D$12*H$2*(1+$H$55)^(H$1-$H$56-1))</f>
        <v>27.484320937499998</v>
      </c>
      <c r="I17" s="202">
        <f>IF(I$1&lt;=$H$56,0,'Opex Phenol'!$D$12*I$2*(1+$H$55)^(I$1-$H$56-1))</f>
        <v>31.912350421874997</v>
      </c>
      <c r="J17" s="202">
        <f>IF(J$1&lt;=$H$56,0,'Opex Phenol'!$D$12*J$2*(1+$H$55)^(J$1-$H$56-1))</f>
        <v>33.348406190859365</v>
      </c>
      <c r="K17" s="202">
        <f>IF(K$1&lt;=$H$56,0,'Opex Phenol'!$D$12*K$2*(1+$H$55)^(K$1-$H$56-1))</f>
        <v>34.849084469448037</v>
      </c>
      <c r="L17" s="202">
        <f>IF(L$1&lt;=$H$56,0,'Opex Phenol'!$D$12*L$2*(1+$H$55)^(L$1-$H$56-1))</f>
        <v>36.41729327057319</v>
      </c>
      <c r="M17" s="202">
        <f>IF(M$1&lt;=$H$56,0,'Opex Phenol'!$D$12*M$2*(1+$H$55)^(M$1-$H$56-1))</f>
        <v>38.056071467748986</v>
      </c>
      <c r="N17" s="202">
        <f>IF(N$1&lt;=$H$56,0,'Opex Phenol'!$D$12*N$2*(1+$H$55)^(N$1-$H$56-1))</f>
        <v>39.76859468379768</v>
      </c>
      <c r="O17" s="202">
        <f>IF(O$1&lt;=$H$56,0,'Opex Phenol'!$D$12*O$2*(1+$H$55)^(O$1-$H$56-1))</f>
        <v>41.558181444568575</v>
      </c>
      <c r="P17" s="202">
        <f>IF(P$1&lt;=$H$56,0,'Opex Phenol'!$D$12*P$2*(1+$H$55)^(P$1-$H$56-1))</f>
        <v>43.428299609574154</v>
      </c>
      <c r="Q17" s="202">
        <f>IF(Q$1&lt;=$H$56,0,'Opex Phenol'!$D$12*Q$2*(1+$H$55)^(Q$1-$H$56-1))</f>
        <v>45.382573092004982</v>
      </c>
      <c r="R17" s="202">
        <f>IF(R$1&lt;=$H$56,0,'Opex Phenol'!$D$12*R$2*(1+$H$55)^(R$1-$H$56-1))</f>
        <v>47.424788881145197</v>
      </c>
      <c r="S17" s="202">
        <f>IF(S$1&lt;=$H$56,0,'Opex Phenol'!$D$12*S$2*(1+$H$55)^(S$1-$H$56-1))</f>
        <v>49.558904380796733</v>
      </c>
      <c r="T17" s="202">
        <f>IF(T$1&lt;=$H$56,0,'Opex Phenol'!$D$12*T$2*(1+$H$55)^(T$1-$H$56-1))</f>
        <v>51.789055077932574</v>
      </c>
      <c r="U17" s="202">
        <f>IF(U$1&lt;=$H$56,0,'Opex Phenol'!$D$12*U$2*(1+$H$55)^(U$1-$H$56-1))</f>
        <v>54.119562556439547</v>
      </c>
      <c r="V17" s="202">
        <f>IF(V$1&lt;=$H$56,0,'Opex Phenol'!$D$12*V$2*(1+$H$55)^(V$1-$H$56-1))</f>
        <v>56.554942871479312</v>
      </c>
      <c r="W17" s="202">
        <f>IF(W$1&lt;=$H$56,0,'Opex Phenol'!$D$12*W$2*(1+$H$55)^(W$1-$H$56-1))</f>
        <v>59.099915300695884</v>
      </c>
      <c r="X17" s="202">
        <f>IF(X$1&lt;=$H$56,0,'Opex Phenol'!$D$12*X$2*(1+$H$55)^(X$1-$H$56-1))</f>
        <v>61.759411489227176</v>
      </c>
      <c r="Y17" s="202">
        <f>IF(Y$1&lt;=$H$56,0,'Opex Phenol'!$D$12*Y$2*(1+$H$55)^(Y$1-$H$56-1))</f>
        <v>64.5385850062424</v>
      </c>
      <c r="Z17" s="202">
        <f>IF(Z$1&lt;=$H$56,0,'Opex Phenol'!$D$12*Z$2*(1+$H$55)^(Z$1-$H$56-1))</f>
        <v>67.442821331523291</v>
      </c>
      <c r="AA17" s="202">
        <f>IF(AA$1&lt;=$H$56,0,'Opex Phenol'!$D$12*AA$2*(1+$H$55)^(AA$1-$H$56-1))</f>
        <v>70.477748291441841</v>
      </c>
    </row>
    <row r="18" spans="1:27">
      <c r="A18" s="52"/>
      <c r="B18" s="17" t="s">
        <v>21</v>
      </c>
      <c r="C18" s="17"/>
      <c r="D18" s="17"/>
      <c r="E18" s="17"/>
      <c r="F18" s="17"/>
      <c r="G18" s="208">
        <f>J18/$J$19</f>
        <v>4.6999095936089363E-2</v>
      </c>
      <c r="H18" s="202">
        <f>IF(H$1&lt;=$H$56,0,'Opex Phenol'!$D$15*H$2*(1+$H$55)^(H$1-$H$56-1))</f>
        <v>72.493034821722745</v>
      </c>
      <c r="I18" s="202">
        <f>IF(I$1&lt;=$H$56,0,'Opex Phenol'!$D$15*I$2*(1+$H$55)^(I$1-$H$56-1))</f>
        <v>84.172468209666945</v>
      </c>
      <c r="J18" s="202">
        <f>IF(J$1&lt;=$H$56,0,'Opex Phenol'!$D$15*J$2*(1+$H$55)^(J$1-$H$56-1))</f>
        <v>87.960229279101952</v>
      </c>
      <c r="K18" s="202">
        <f>IF(K$1&lt;=$H$56,0,'Opex Phenol'!$D$15*K$2*(1+$H$55)^(K$1-$H$56-1))</f>
        <v>91.918439596661543</v>
      </c>
      <c r="L18" s="202">
        <f>IF(L$1&lt;=$H$56,0,'Opex Phenol'!$D$15*L$2*(1+$H$55)^(L$1-$H$56-1))</f>
        <v>96.054769378511281</v>
      </c>
      <c r="M18" s="202">
        <f>IF(M$1&lt;=$H$56,0,'Opex Phenol'!$D$15*M$2*(1+$H$55)^(M$1-$H$56-1))</f>
        <v>100.37723400054429</v>
      </c>
      <c r="N18" s="202">
        <f>IF(N$1&lt;=$H$56,0,'Opex Phenol'!$D$15*N$2*(1+$H$55)^(N$1-$H$56-1))</f>
        <v>104.89420953056876</v>
      </c>
      <c r="O18" s="202">
        <f>IF(O$1&lt;=$H$56,0,'Opex Phenol'!$D$15*O$2*(1+$H$55)^(O$1-$H$56-1))</f>
        <v>109.61444895944436</v>
      </c>
      <c r="P18" s="202">
        <f>IF(P$1&lt;=$H$56,0,'Opex Phenol'!$D$15*P$2*(1+$H$55)^(P$1-$H$56-1))</f>
        <v>114.54709916261932</v>
      </c>
      <c r="Q18" s="202">
        <f>IF(Q$1&lt;=$H$56,0,'Opex Phenol'!$D$15*Q$2*(1+$H$55)^(Q$1-$H$56-1))</f>
        <v>119.70171862493719</v>
      </c>
      <c r="R18" s="202">
        <f>IF(R$1&lt;=$H$56,0,'Opex Phenol'!$D$15*R$2*(1+$H$55)^(R$1-$H$56-1))</f>
        <v>125.08829596305934</v>
      </c>
      <c r="S18" s="202">
        <f>IF(S$1&lt;=$H$56,0,'Opex Phenol'!$D$15*S$2*(1+$H$55)^(S$1-$H$56-1))</f>
        <v>130.71726928139702</v>
      </c>
      <c r="T18" s="202">
        <f>IF(T$1&lt;=$H$56,0,'Opex Phenol'!$D$15*T$2*(1+$H$55)^(T$1-$H$56-1))</f>
        <v>136.59954639905985</v>
      </c>
      <c r="U18" s="202">
        <f>IF(U$1&lt;=$H$56,0,'Opex Phenol'!$D$15*U$2*(1+$H$55)^(U$1-$H$56-1))</f>
        <v>142.74652598701755</v>
      </c>
      <c r="V18" s="202">
        <f>IF(V$1&lt;=$H$56,0,'Opex Phenol'!$D$15*V$2*(1+$H$55)^(V$1-$H$56-1))</f>
        <v>149.17011965643329</v>
      </c>
      <c r="W18" s="202">
        <f>IF(W$1&lt;=$H$56,0,'Opex Phenol'!$D$15*W$2*(1+$H$55)^(W$1-$H$56-1))</f>
        <v>155.8827750409728</v>
      </c>
      <c r="X18" s="202">
        <f>IF(X$1&lt;=$H$56,0,'Opex Phenol'!$D$15*X$2*(1+$H$55)^(X$1-$H$56-1))</f>
        <v>162.89749991781653</v>
      </c>
      <c r="Y18" s="202">
        <f>IF(Y$1&lt;=$H$56,0,'Opex Phenol'!$D$15*Y$2*(1+$H$55)^(Y$1-$H$56-1))</f>
        <v>170.22788741411827</v>
      </c>
      <c r="Z18" s="202">
        <f>IF(Z$1&lt;=$H$56,0,'Opex Phenol'!$D$15*Z$2*(1+$H$55)^(Z$1-$H$56-1))</f>
        <v>177.88814234775356</v>
      </c>
      <c r="AA18" s="202">
        <f>IF(AA$1&lt;=$H$56,0,'Opex Phenol'!$D$15*AA$2*(1+$H$55)^(AA$1-$H$56-1))</f>
        <v>185.89310875340246</v>
      </c>
    </row>
    <row r="19" spans="1:27" s="167" customFormat="1">
      <c r="A19" s="187"/>
      <c r="B19" s="209" t="s">
        <v>30</v>
      </c>
      <c r="C19" s="209"/>
      <c r="D19" s="209"/>
      <c r="E19" s="209"/>
      <c r="F19" s="209"/>
      <c r="G19" s="210"/>
      <c r="H19" s="192">
        <f t="shared" ref="H19:Q19" si="1">SUM(H14:H18)</f>
        <v>1515.9148054209468</v>
      </c>
      <c r="I19" s="192">
        <f t="shared" si="1"/>
        <v>1773.8783569103452</v>
      </c>
      <c r="J19" s="192">
        <f t="shared" si="1"/>
        <v>1871.5302396180693</v>
      </c>
      <c r="K19" s="192">
        <f t="shared" si="1"/>
        <v>1974.6022431490962</v>
      </c>
      <c r="L19" s="192">
        <f t="shared" si="1"/>
        <v>2083.3972966727506</v>
      </c>
      <c r="M19" s="192">
        <f t="shared" si="1"/>
        <v>2198.2353573965352</v>
      </c>
      <c r="N19" s="192">
        <f t="shared" si="1"/>
        <v>2319.4543722466615</v>
      </c>
      <c r="O19" s="192">
        <f t="shared" si="1"/>
        <v>2447.4112940686136</v>
      </c>
      <c r="P19" s="192">
        <f t="shared" si="1"/>
        <v>2582.4831554481293</v>
      </c>
      <c r="Q19" s="192">
        <f t="shared" si="1"/>
        <v>2725.0682034297688</v>
      </c>
      <c r="R19" s="552">
        <f t="shared" ref="R19:AA19" si="2">SUM(R14:R18)</f>
        <v>2875.5870985970441</v>
      </c>
      <c r="S19" s="192">
        <f t="shared" si="2"/>
        <v>3034.4841821756318</v>
      </c>
      <c r="T19" s="192">
        <f t="shared" si="2"/>
        <v>3202.2288150299696</v>
      </c>
      <c r="U19" s="192">
        <f t="shared" si="2"/>
        <v>3379.3167926442848</v>
      </c>
      <c r="V19" s="192">
        <f t="shared" si="2"/>
        <v>3566.2718404124134</v>
      </c>
      <c r="W19" s="192">
        <f t="shared" si="2"/>
        <v>3763.6471938074937</v>
      </c>
      <c r="X19" s="192">
        <f t="shared" si="2"/>
        <v>3972.0272682633235</v>
      </c>
      <c r="Y19" s="192">
        <f t="shared" si="2"/>
        <v>4192.0294238749302</v>
      </c>
      <c r="Z19" s="192">
        <f t="shared" si="2"/>
        <v>4424.3058303172356</v>
      </c>
      <c r="AA19" s="233">
        <f t="shared" si="2"/>
        <v>4669.5454376888974</v>
      </c>
    </row>
    <row r="20" spans="1:27">
      <c r="A20" s="52"/>
      <c r="B20" s="17"/>
      <c r="C20" s="17"/>
      <c r="D20" s="17"/>
      <c r="E20" s="17"/>
      <c r="F20" s="17"/>
      <c r="G20" s="201"/>
      <c r="H20" s="199"/>
      <c r="I20" s="199"/>
      <c r="J20" s="199"/>
      <c r="K20" s="199"/>
      <c r="L20" s="199"/>
      <c r="M20" s="199"/>
      <c r="N20" s="199"/>
      <c r="O20" s="199"/>
      <c r="P20" s="199"/>
      <c r="Q20" s="199"/>
      <c r="R20" s="553"/>
      <c r="AA20" s="33"/>
    </row>
    <row r="21" spans="1:27" s="167" customFormat="1">
      <c r="A21" s="203">
        <v>6</v>
      </c>
      <c r="B21" s="204" t="s">
        <v>392</v>
      </c>
      <c r="C21" s="204"/>
      <c r="D21" s="204"/>
      <c r="E21" s="204"/>
      <c r="F21" s="204"/>
      <c r="G21" s="205"/>
      <c r="H21" s="206">
        <f t="shared" ref="H21:AA21" si="3">H10-H19</f>
        <v>519.36812508842831</v>
      </c>
      <c r="I21" s="206">
        <f t="shared" si="3"/>
        <v>619.27964583069706</v>
      </c>
      <c r="J21" s="206">
        <f t="shared" si="3"/>
        <v>661.03450482163021</v>
      </c>
      <c r="K21" s="206">
        <f t="shared" si="3"/>
        <v>705.4905609510954</v>
      </c>
      <c r="L21" s="206">
        <f t="shared" si="3"/>
        <v>752.81803563448739</v>
      </c>
      <c r="M21" s="206">
        <f t="shared" si="3"/>
        <v>803.19769005294393</v>
      </c>
      <c r="N21" s="206">
        <f t="shared" si="3"/>
        <v>856.82146980245579</v>
      </c>
      <c r="O21" s="206">
        <f t="shared" si="3"/>
        <v>913.8931886274454</v>
      </c>
      <c r="P21" s="206">
        <f t="shared" si="3"/>
        <v>974.62925359331666</v>
      </c>
      <c r="Q21" s="206">
        <f t="shared" si="3"/>
        <v>1039.2594341936701</v>
      </c>
      <c r="R21" s="554">
        <f t="shared" si="3"/>
        <v>1108.0276780374406</v>
      </c>
      <c r="S21" s="206">
        <f t="shared" si="3"/>
        <v>1181.1929759197856</v>
      </c>
      <c r="T21" s="206">
        <f t="shared" si="3"/>
        <v>1259.0302792485377</v>
      </c>
      <c r="U21" s="206">
        <f t="shared" si="3"/>
        <v>1341.8314729760696</v>
      </c>
      <c r="V21" s="206">
        <f t="shared" si="3"/>
        <v>1429.9064073750933</v>
      </c>
      <c r="W21" s="206">
        <f t="shared" si="3"/>
        <v>1523.5839921968545</v>
      </c>
      <c r="X21" s="206">
        <f t="shared" si="3"/>
        <v>1623.2133569620059</v>
      </c>
      <c r="Y21" s="206">
        <f t="shared" si="3"/>
        <v>1729.1650813590159</v>
      </c>
      <c r="Z21" s="206">
        <f t="shared" si="3"/>
        <v>1841.8324999627866</v>
      </c>
      <c r="AA21" s="555">
        <f t="shared" si="3"/>
        <v>1961.6330857383491</v>
      </c>
    </row>
    <row r="22" spans="1:27">
      <c r="A22" s="52"/>
      <c r="B22" s="17" t="s">
        <v>388</v>
      </c>
      <c r="C22" s="17"/>
      <c r="D22" s="17"/>
      <c r="E22" s="17"/>
      <c r="F22" s="17"/>
      <c r="G22" s="201"/>
      <c r="H22" s="262">
        <f>H21/H10</f>
        <v>0.25518227333555282</v>
      </c>
      <c r="I22" s="262">
        <f t="shared" ref="I22:AA22" si="4">I21/I10</f>
        <v>0.25877089816944604</v>
      </c>
      <c r="J22" s="262">
        <f t="shared" si="4"/>
        <v>0.26101386204358473</v>
      </c>
      <c r="K22" s="262">
        <f t="shared" si="4"/>
        <v>0.26323363126522598</v>
      </c>
      <c r="L22" s="262">
        <f t="shared" si="4"/>
        <v>0.26543049360856397</v>
      </c>
      <c r="M22" s="262">
        <f t="shared" si="4"/>
        <v>0.26760473325749357</v>
      </c>
      <c r="N22" s="262">
        <f t="shared" si="4"/>
        <v>0.26975663085032714</v>
      </c>
      <c r="O22" s="262">
        <f t="shared" si="4"/>
        <v>0.27188646352395407</v>
      </c>
      <c r="P22" s="262">
        <f t="shared" si="4"/>
        <v>0.27399450495745092</v>
      </c>
      <c r="Q22" s="262">
        <f t="shared" si="4"/>
        <v>0.2760810254151505</v>
      </c>
      <c r="R22" s="262">
        <f t="shared" si="4"/>
        <v>0.27814629178917399</v>
      </c>
      <c r="S22" s="262">
        <f t="shared" si="4"/>
        <v>0.2801905676414348</v>
      </c>
      <c r="T22" s="262">
        <f t="shared" si="4"/>
        <v>0.28221411324512036</v>
      </c>
      <c r="U22" s="262">
        <f t="shared" si="4"/>
        <v>0.28421718562565718</v>
      </c>
      <c r="V22" s="262">
        <f t="shared" si="4"/>
        <v>0.28620003860116661</v>
      </c>
      <c r="W22" s="262">
        <f t="shared" si="4"/>
        <v>0.28816292282241834</v>
      </c>
      <c r="X22" s="262">
        <f t="shared" si="4"/>
        <v>0.29010608581228559</v>
      </c>
      <c r="Y22" s="262">
        <f t="shared" si="4"/>
        <v>0.29202977200471086</v>
      </c>
      <c r="Z22" s="262">
        <f t="shared" si="4"/>
        <v>0.29393422278318559</v>
      </c>
      <c r="AA22" s="262">
        <f t="shared" si="4"/>
        <v>0.29581967651875285</v>
      </c>
    </row>
    <row r="23" spans="1:27">
      <c r="A23" s="52"/>
      <c r="B23" s="17"/>
      <c r="C23" s="17"/>
      <c r="D23" s="17"/>
      <c r="E23" s="17"/>
      <c r="F23" s="17"/>
      <c r="G23" s="201"/>
      <c r="H23" s="199"/>
      <c r="I23" s="199"/>
      <c r="J23" s="199"/>
      <c r="K23" s="199"/>
      <c r="L23" s="199"/>
      <c r="M23" s="199"/>
      <c r="N23" s="199"/>
      <c r="O23" s="199"/>
      <c r="P23" s="199"/>
      <c r="Q23" s="199"/>
      <c r="R23" s="556"/>
      <c r="S23" s="199"/>
      <c r="T23" s="199"/>
      <c r="U23" s="199"/>
      <c r="V23" s="199"/>
      <c r="W23" s="199"/>
      <c r="X23" s="199"/>
      <c r="Y23" s="199"/>
      <c r="Z23" s="199"/>
      <c r="AA23" s="557"/>
    </row>
    <row r="24" spans="1:27" s="167" customFormat="1">
      <c r="A24" s="194"/>
      <c r="B24" s="195" t="s">
        <v>32</v>
      </c>
      <c r="C24" s="182">
        <f>+C7</f>
        <v>-88.43</v>
      </c>
      <c r="D24" s="182">
        <f>+D7</f>
        <v>-442.17</v>
      </c>
      <c r="E24" s="182">
        <f>+E7</f>
        <v>-619.04</v>
      </c>
      <c r="F24" s="182">
        <f>+F7</f>
        <v>-619.04</v>
      </c>
      <c r="G24" s="196"/>
      <c r="H24" s="197">
        <f>H21+SUM(C24:F24)</f>
        <v>-1249.3118749115715</v>
      </c>
      <c r="I24" s="197">
        <f t="shared" ref="I24:AA24" si="5">I21</f>
        <v>619.27964583069706</v>
      </c>
      <c r="J24" s="197">
        <f t="shared" si="5"/>
        <v>661.03450482163021</v>
      </c>
      <c r="K24" s="197">
        <f t="shared" si="5"/>
        <v>705.4905609510954</v>
      </c>
      <c r="L24" s="197">
        <f t="shared" si="5"/>
        <v>752.81803563448739</v>
      </c>
      <c r="M24" s="197">
        <f t="shared" si="5"/>
        <v>803.19769005294393</v>
      </c>
      <c r="N24" s="197">
        <f t="shared" si="5"/>
        <v>856.82146980245579</v>
      </c>
      <c r="O24" s="197">
        <f t="shared" si="5"/>
        <v>913.8931886274454</v>
      </c>
      <c r="P24" s="197">
        <f t="shared" si="5"/>
        <v>974.62925359331666</v>
      </c>
      <c r="Q24" s="197">
        <f t="shared" si="5"/>
        <v>1039.2594341936701</v>
      </c>
      <c r="R24" s="550">
        <f t="shared" si="5"/>
        <v>1108.0276780374406</v>
      </c>
      <c r="S24" s="197">
        <f t="shared" si="5"/>
        <v>1181.1929759197856</v>
      </c>
      <c r="T24" s="197">
        <f t="shared" si="5"/>
        <v>1259.0302792485377</v>
      </c>
      <c r="U24" s="197">
        <f t="shared" si="5"/>
        <v>1341.8314729760696</v>
      </c>
      <c r="V24" s="197">
        <f t="shared" si="5"/>
        <v>1429.9064073750933</v>
      </c>
      <c r="W24" s="197">
        <f t="shared" si="5"/>
        <v>1523.5839921968545</v>
      </c>
      <c r="X24" s="197">
        <f t="shared" si="5"/>
        <v>1623.2133569620059</v>
      </c>
      <c r="Y24" s="197">
        <f t="shared" si="5"/>
        <v>1729.1650813590159</v>
      </c>
      <c r="Z24" s="197">
        <f t="shared" si="5"/>
        <v>1841.8324999627866</v>
      </c>
      <c r="AA24" s="551">
        <f t="shared" si="5"/>
        <v>1961.6330857383491</v>
      </c>
    </row>
    <row r="25" spans="1:27">
      <c r="A25" s="52"/>
      <c r="B25" s="17"/>
      <c r="C25" s="17"/>
      <c r="D25" s="17"/>
      <c r="E25" s="17"/>
      <c r="F25" s="17"/>
      <c r="G25" s="201"/>
      <c r="H25" s="199"/>
      <c r="I25" s="199"/>
      <c r="J25" s="199"/>
      <c r="K25" s="199"/>
      <c r="L25" s="199"/>
      <c r="M25" s="199"/>
      <c r="N25" s="199"/>
      <c r="O25" s="199"/>
      <c r="P25" s="199"/>
      <c r="Q25" s="199"/>
      <c r="R25" s="556"/>
      <c r="S25" s="199"/>
      <c r="T25" s="199"/>
      <c r="U25" s="199"/>
      <c r="V25" s="199"/>
      <c r="W25" s="199"/>
      <c r="X25" s="199"/>
      <c r="Y25" s="199"/>
      <c r="Z25" s="199"/>
      <c r="AA25" s="557"/>
    </row>
    <row r="26" spans="1:27">
      <c r="A26" s="52"/>
      <c r="B26" s="17" t="s">
        <v>33</v>
      </c>
      <c r="C26" s="17"/>
      <c r="D26" s="17"/>
      <c r="E26" s="17"/>
      <c r="F26" s="17"/>
      <c r="G26" s="201">
        <v>1</v>
      </c>
      <c r="H26" s="199">
        <f>G26/(1+0.1)</f>
        <v>0.90909090909090906</v>
      </c>
      <c r="I26" s="199">
        <f>H26/(1+0.1)</f>
        <v>0.82644628099173545</v>
      </c>
      <c r="J26" s="199">
        <f t="shared" ref="J26:AA26" si="6">I26/(1+0.1)</f>
        <v>0.75131480090157765</v>
      </c>
      <c r="K26" s="199">
        <f t="shared" si="6"/>
        <v>0.68301345536507052</v>
      </c>
      <c r="L26" s="199">
        <f t="shared" si="6"/>
        <v>0.62092132305915493</v>
      </c>
      <c r="M26" s="199">
        <f t="shared" si="6"/>
        <v>0.56447393005377711</v>
      </c>
      <c r="N26" s="199">
        <f t="shared" si="6"/>
        <v>0.51315811823070645</v>
      </c>
      <c r="O26" s="199">
        <f t="shared" si="6"/>
        <v>0.46650738020973309</v>
      </c>
      <c r="P26" s="199">
        <f t="shared" si="6"/>
        <v>0.42409761837248461</v>
      </c>
      <c r="Q26" s="199">
        <f t="shared" si="6"/>
        <v>0.38554328942953142</v>
      </c>
      <c r="R26" s="556">
        <f t="shared" si="6"/>
        <v>0.35049389948139215</v>
      </c>
      <c r="S26" s="199">
        <f t="shared" si="6"/>
        <v>0.31863081771035645</v>
      </c>
      <c r="T26" s="199">
        <f t="shared" si="6"/>
        <v>0.28966437973668768</v>
      </c>
      <c r="U26" s="199">
        <f t="shared" si="6"/>
        <v>0.26333125430607968</v>
      </c>
      <c r="V26" s="199">
        <f t="shared" si="6"/>
        <v>0.23939204936916333</v>
      </c>
      <c r="W26" s="199">
        <f t="shared" si="6"/>
        <v>0.21762913579014848</v>
      </c>
      <c r="X26" s="199">
        <f t="shared" si="6"/>
        <v>0.19784466890013497</v>
      </c>
      <c r="Y26" s="199">
        <f t="shared" si="6"/>
        <v>0.17985878990921358</v>
      </c>
      <c r="Z26" s="199">
        <f t="shared" si="6"/>
        <v>0.16350799082655779</v>
      </c>
      <c r="AA26" s="557">
        <f t="shared" si="6"/>
        <v>0.14864362802414344</v>
      </c>
    </row>
    <row r="27" spans="1:27">
      <c r="A27" s="52"/>
      <c r="B27" s="17" t="s">
        <v>34</v>
      </c>
      <c r="C27" s="558"/>
      <c r="D27" s="558"/>
      <c r="E27" s="558"/>
      <c r="F27" s="558"/>
      <c r="G27" s="211"/>
      <c r="H27" s="202">
        <f>H24*H26</f>
        <v>-1135.7380681014286</v>
      </c>
      <c r="I27" s="202">
        <f t="shared" ref="I27:AA27" si="7">I24*I26</f>
        <v>511.80136019065867</v>
      </c>
      <c r="J27" s="202">
        <f t="shared" si="7"/>
        <v>496.64500737913608</v>
      </c>
      <c r="K27" s="202">
        <f t="shared" si="7"/>
        <v>481.85954576264959</v>
      </c>
      <c r="L27" s="202">
        <f t="shared" si="7"/>
        <v>467.44077070895997</v>
      </c>
      <c r="M27" s="202">
        <f t="shared" si="7"/>
        <v>453.38415671430079</v>
      </c>
      <c r="N27" s="202">
        <f t="shared" si="7"/>
        <v>439.68489310349628</v>
      </c>
      <c r="O27" s="202">
        <f t="shared" si="7"/>
        <v>426.337917218109</v>
      </c>
      <c r="P27" s="202">
        <f t="shared" si="7"/>
        <v>413.33794524507795</v>
      </c>
      <c r="Q27" s="202">
        <f t="shared" si="7"/>
        <v>400.67950082970123</v>
      </c>
      <c r="R27" s="559">
        <f t="shared" si="7"/>
        <v>388.35694160865506</v>
      </c>
      <c r="S27" s="202">
        <f t="shared" si="7"/>
        <v>376.36448379105065</v>
      </c>
      <c r="T27" s="202">
        <f t="shared" si="7"/>
        <v>364.69622490823633</v>
      </c>
      <c r="U27" s="202">
        <f t="shared" si="7"/>
        <v>353.34616484616288</v>
      </c>
      <c r="V27" s="202">
        <f t="shared" si="7"/>
        <v>342.30822526762131</v>
      </c>
      <c r="W27" s="202">
        <f t="shared" si="7"/>
        <v>331.57626752550578</v>
      </c>
      <c r="X27" s="202">
        <f t="shared" si="7"/>
        <v>321.14410916242468</v>
      </c>
      <c r="Y27" s="202">
        <f t="shared" si="7"/>
        <v>311.00553908649943</v>
      </c>
      <c r="Z27" s="202">
        <f t="shared" si="7"/>
        <v>301.15433150797134</v>
      </c>
      <c r="AA27" s="560">
        <f t="shared" si="7"/>
        <v>291.58425871634381</v>
      </c>
    </row>
    <row r="28" spans="1:27">
      <c r="A28" s="52"/>
      <c r="B28" s="17" t="s">
        <v>35</v>
      </c>
      <c r="C28" s="17"/>
      <c r="D28" s="17"/>
      <c r="E28" s="17"/>
      <c r="F28" s="17"/>
      <c r="G28" s="211"/>
      <c r="H28" s="202">
        <f>H24</f>
        <v>-1249.3118749115715</v>
      </c>
      <c r="I28" s="202">
        <f t="shared" ref="I28:AA28" si="8">I24</f>
        <v>619.27964583069706</v>
      </c>
      <c r="J28" s="202">
        <f t="shared" si="8"/>
        <v>661.03450482163021</v>
      </c>
      <c r="K28" s="202">
        <f>K24</f>
        <v>705.4905609510954</v>
      </c>
      <c r="L28" s="202">
        <f t="shared" si="8"/>
        <v>752.81803563448739</v>
      </c>
      <c r="M28" s="202">
        <f t="shared" si="8"/>
        <v>803.19769005294393</v>
      </c>
      <c r="N28" s="202">
        <f t="shared" si="8"/>
        <v>856.82146980245579</v>
      </c>
      <c r="O28" s="202">
        <f t="shared" si="8"/>
        <v>913.8931886274454</v>
      </c>
      <c r="P28" s="202">
        <f t="shared" si="8"/>
        <v>974.62925359331666</v>
      </c>
      <c r="Q28" s="202">
        <f t="shared" si="8"/>
        <v>1039.2594341936701</v>
      </c>
      <c r="R28" s="559">
        <f t="shared" si="8"/>
        <v>1108.0276780374406</v>
      </c>
      <c r="S28" s="202">
        <f t="shared" si="8"/>
        <v>1181.1929759197856</v>
      </c>
      <c r="T28" s="202">
        <f t="shared" si="8"/>
        <v>1259.0302792485377</v>
      </c>
      <c r="U28" s="202">
        <f t="shared" si="8"/>
        <v>1341.8314729760696</v>
      </c>
      <c r="V28" s="202">
        <f t="shared" si="8"/>
        <v>1429.9064073750933</v>
      </c>
      <c r="W28" s="202">
        <f t="shared" si="8"/>
        <v>1523.5839921968545</v>
      </c>
      <c r="X28" s="202">
        <f t="shared" si="8"/>
        <v>1623.2133569620059</v>
      </c>
      <c r="Y28" s="202">
        <f t="shared" si="8"/>
        <v>1729.1650813590159</v>
      </c>
      <c r="Z28" s="202">
        <f t="shared" si="8"/>
        <v>1841.8324999627866</v>
      </c>
      <c r="AA28" s="560">
        <f t="shared" si="8"/>
        <v>1961.6330857383491</v>
      </c>
    </row>
    <row r="29" spans="1:27">
      <c r="A29" s="53"/>
      <c r="B29" s="55" t="s">
        <v>443</v>
      </c>
      <c r="C29" s="55"/>
      <c r="D29" s="55"/>
      <c r="E29" s="55"/>
      <c r="F29" s="55"/>
      <c r="G29" s="212"/>
      <c r="H29" s="213">
        <f>G28+H24</f>
        <v>-1249.3118749115715</v>
      </c>
      <c r="I29" s="213">
        <f>H29+I24</f>
        <v>-630.03222908087446</v>
      </c>
      <c r="J29" s="213">
        <f t="shared" ref="J29:AA29" si="9">I29+J24</f>
        <v>31.002275740755749</v>
      </c>
      <c r="K29" s="213">
        <f>J29+K24</f>
        <v>736.49283669185115</v>
      </c>
      <c r="L29" s="213">
        <f t="shared" si="9"/>
        <v>1489.3108723263385</v>
      </c>
      <c r="M29" s="213">
        <f t="shared" si="9"/>
        <v>2292.5085623792825</v>
      </c>
      <c r="N29" s="213">
        <f t="shared" si="9"/>
        <v>3149.3300321817383</v>
      </c>
      <c r="O29" s="213">
        <f t="shared" si="9"/>
        <v>4063.2232208091837</v>
      </c>
      <c r="P29" s="213">
        <f t="shared" si="9"/>
        <v>5037.8524744024999</v>
      </c>
      <c r="Q29" s="213">
        <f t="shared" si="9"/>
        <v>6077.11190859617</v>
      </c>
      <c r="R29" s="561">
        <f t="shared" si="9"/>
        <v>7185.1395866336106</v>
      </c>
      <c r="S29" s="213">
        <f t="shared" si="9"/>
        <v>8366.3325625533962</v>
      </c>
      <c r="T29" s="213">
        <f t="shared" si="9"/>
        <v>9625.3628418019343</v>
      </c>
      <c r="U29" s="213">
        <f t="shared" si="9"/>
        <v>10967.194314778004</v>
      </c>
      <c r="V29" s="213">
        <f t="shared" si="9"/>
        <v>12397.100722153096</v>
      </c>
      <c r="W29" s="213">
        <f t="shared" si="9"/>
        <v>13920.684714349951</v>
      </c>
      <c r="X29" s="213">
        <f t="shared" si="9"/>
        <v>15543.898071311956</v>
      </c>
      <c r="Y29" s="213">
        <f t="shared" si="9"/>
        <v>17273.063152670973</v>
      </c>
      <c r="Z29" s="213">
        <f t="shared" si="9"/>
        <v>19114.895652633761</v>
      </c>
      <c r="AA29" s="562">
        <f t="shared" si="9"/>
        <v>21076.528738372108</v>
      </c>
    </row>
    <row r="30" spans="1:27">
      <c r="A30" s="52"/>
      <c r="B30" s="17"/>
      <c r="C30" s="17"/>
      <c r="D30" s="17"/>
      <c r="E30" s="17"/>
      <c r="F30" s="17"/>
      <c r="G30" s="201"/>
      <c r="H30" s="202"/>
      <c r="I30" s="202"/>
      <c r="J30" s="202"/>
      <c r="K30" s="202"/>
      <c r="L30" s="202"/>
      <c r="M30" s="202"/>
      <c r="N30" s="202"/>
      <c r="O30" s="202"/>
      <c r="P30" s="202"/>
      <c r="Q30" s="202"/>
      <c r="R30" s="559"/>
      <c r="S30" s="202"/>
      <c r="T30" s="202"/>
      <c r="U30" s="202"/>
      <c r="V30" s="202"/>
      <c r="W30" s="202"/>
      <c r="X30" s="202"/>
      <c r="Y30" s="202"/>
      <c r="Z30" s="202"/>
      <c r="AA30" s="560"/>
    </row>
    <row r="31" spans="1:27">
      <c r="A31" s="52"/>
      <c r="B31" s="17"/>
      <c r="C31" s="17"/>
      <c r="D31" s="17"/>
      <c r="E31" s="17"/>
      <c r="F31" s="17"/>
      <c r="G31" s="201"/>
      <c r="H31" s="202"/>
      <c r="I31" s="202"/>
      <c r="J31" s="202"/>
      <c r="K31" s="202"/>
      <c r="L31" s="202"/>
      <c r="M31" s="202"/>
      <c r="N31" s="202"/>
      <c r="O31" s="202"/>
      <c r="P31" s="202"/>
      <c r="Q31" s="202"/>
      <c r="R31" s="559"/>
      <c r="S31" s="202"/>
      <c r="T31" s="202"/>
      <c r="U31" s="202"/>
      <c r="V31" s="202"/>
      <c r="W31" s="202"/>
      <c r="X31" s="202"/>
      <c r="Y31" s="202"/>
      <c r="Z31" s="202"/>
      <c r="AA31" s="560"/>
    </row>
    <row r="32" spans="1:27">
      <c r="A32" s="52"/>
      <c r="B32" s="563" t="s">
        <v>464</v>
      </c>
      <c r="C32" s="564"/>
      <c r="D32" s="564"/>
      <c r="E32" s="564"/>
      <c r="F32" s="564"/>
      <c r="G32" s="565">
        <f>NPV(0%,(H27:AA27))+G27</f>
        <v>6336.969575471132</v>
      </c>
      <c r="H32" s="566"/>
      <c r="I32" s="199"/>
      <c r="J32" s="199"/>
      <c r="K32" s="199"/>
      <c r="L32" s="199"/>
      <c r="M32" s="199"/>
      <c r="N32" s="199"/>
      <c r="O32" s="199"/>
      <c r="P32" s="199"/>
      <c r="Q32" s="199"/>
      <c r="R32" s="556"/>
      <c r="S32" s="199"/>
      <c r="T32" s="199"/>
      <c r="U32" s="199"/>
      <c r="V32" s="199"/>
      <c r="W32" s="199"/>
      <c r="X32" s="199"/>
      <c r="Y32" s="199"/>
      <c r="Z32" s="199"/>
      <c r="AA32" s="557"/>
    </row>
    <row r="33" spans="1:27">
      <c r="A33" s="52"/>
      <c r="B33" s="567" t="s">
        <v>37</v>
      </c>
      <c r="C33" s="545"/>
      <c r="D33" s="545"/>
      <c r="E33" s="545"/>
      <c r="F33" s="545"/>
      <c r="G33" s="568">
        <f>IRR(C24:AA24,0.1)</f>
        <v>0.21197582212861299</v>
      </c>
      <c r="H33" s="557"/>
      <c r="I33" s="199"/>
      <c r="J33" s="199"/>
      <c r="K33" s="199"/>
      <c r="L33" s="199"/>
      <c r="M33" s="199"/>
      <c r="N33" s="199"/>
      <c r="O33" s="199"/>
      <c r="P33" s="199"/>
      <c r="Q33" s="199"/>
      <c r="R33" s="556"/>
      <c r="S33" s="199"/>
      <c r="T33" s="199"/>
      <c r="U33" s="199"/>
      <c r="V33" s="199"/>
      <c r="W33" s="199"/>
      <c r="X33" s="199"/>
      <c r="Y33" s="199"/>
      <c r="Z33" s="199"/>
      <c r="AA33" s="557"/>
    </row>
    <row r="34" spans="1:27">
      <c r="A34" s="52"/>
      <c r="B34" s="569" t="s">
        <v>465</v>
      </c>
      <c r="C34" s="570"/>
      <c r="D34" s="570"/>
      <c r="E34" s="570"/>
      <c r="F34" s="570"/>
      <c r="G34" s="571">
        <f>IF(SUM(H39:AA39)&lt;=25,SUM(H39:AA39)," N/A ")</f>
        <v>2.9531003669027518</v>
      </c>
      <c r="H34" s="572"/>
      <c r="I34" s="199"/>
      <c r="J34" s="199"/>
      <c r="K34" s="199"/>
      <c r="L34" s="199"/>
      <c r="M34" s="199"/>
      <c r="N34" s="199"/>
      <c r="O34" s="199"/>
      <c r="P34" s="199"/>
      <c r="Q34" s="199"/>
      <c r="R34" s="556"/>
      <c r="S34" s="199"/>
      <c r="T34" s="199"/>
      <c r="U34" s="199"/>
      <c r="V34" s="199"/>
      <c r="W34" s="199"/>
      <c r="X34" s="199"/>
      <c r="Y34" s="199"/>
      <c r="Z34" s="199"/>
      <c r="AA34" s="557"/>
    </row>
    <row r="35" spans="1:27">
      <c r="A35" s="52"/>
      <c r="B35" s="573" t="s">
        <v>466</v>
      </c>
      <c r="C35" s="574"/>
      <c r="D35" s="574"/>
      <c r="E35" s="574"/>
      <c r="F35" s="574"/>
      <c r="G35" s="571">
        <f>IF(SUM(H40:AA40)&lt;=25,SUM(H40:AA40)," N/A ")</f>
        <v>3.2685765883475626</v>
      </c>
      <c r="H35" s="575"/>
      <c r="I35" s="199"/>
      <c r="J35" s="199"/>
      <c r="K35" s="199"/>
      <c r="L35" s="199"/>
      <c r="M35" s="199"/>
      <c r="N35" s="199"/>
      <c r="O35" s="199"/>
      <c r="P35" s="199"/>
      <c r="Q35" s="199"/>
      <c r="R35" s="556"/>
      <c r="S35" s="199"/>
      <c r="T35" s="199"/>
      <c r="U35" s="199"/>
      <c r="V35" s="199"/>
      <c r="W35" s="199"/>
      <c r="X35" s="199"/>
      <c r="Y35" s="199"/>
      <c r="Z35" s="199"/>
      <c r="AA35" s="557"/>
    </row>
    <row r="36" spans="1:27">
      <c r="A36" s="2"/>
      <c r="G36" s="32"/>
      <c r="H36" s="223">
        <v>1</v>
      </c>
      <c r="I36" s="223">
        <v>2</v>
      </c>
      <c r="J36" s="223">
        <v>3</v>
      </c>
      <c r="K36" s="223">
        <v>4</v>
      </c>
      <c r="L36" s="223">
        <v>5</v>
      </c>
      <c r="M36" s="223">
        <v>6</v>
      </c>
      <c r="N36" s="223">
        <v>7</v>
      </c>
      <c r="O36" s="223">
        <v>8</v>
      </c>
      <c r="P36" s="223">
        <v>9</v>
      </c>
      <c r="Q36" s="223">
        <v>10</v>
      </c>
      <c r="R36" s="576">
        <v>11</v>
      </c>
      <c r="S36" s="223">
        <v>12</v>
      </c>
      <c r="T36" s="223">
        <v>13</v>
      </c>
      <c r="U36" s="223">
        <v>14</v>
      </c>
      <c r="V36" s="223">
        <v>15</v>
      </c>
      <c r="W36" s="223">
        <v>16</v>
      </c>
      <c r="X36" s="223">
        <v>17</v>
      </c>
      <c r="Y36" s="223">
        <v>18</v>
      </c>
      <c r="Z36" s="223">
        <v>19</v>
      </c>
      <c r="AA36" s="306">
        <v>20</v>
      </c>
    </row>
    <row r="37" spans="1:27">
      <c r="A37" s="224"/>
      <c r="B37" s="577" t="s">
        <v>398</v>
      </c>
      <c r="C37" s="225"/>
      <c r="D37" s="225"/>
      <c r="E37" s="225"/>
      <c r="F37" s="225"/>
      <c r="G37" s="578"/>
      <c r="H37" s="579">
        <f t="shared" ref="H37:AA37" si="10">IF(H29&lt;0,1,IF(H28=0,0,-G29/H28))</f>
        <v>1</v>
      </c>
      <c r="I37" s="579">
        <f t="shared" si="10"/>
        <v>1</v>
      </c>
      <c r="J37" s="579">
        <f t="shared" si="10"/>
        <v>0.95310036690275157</v>
      </c>
      <c r="K37" s="579">
        <f t="shared" si="10"/>
        <v>-4.3944281407479843E-2</v>
      </c>
      <c r="L37" s="579">
        <f t="shared" si="10"/>
        <v>-0.97831454857630096</v>
      </c>
      <c r="M37" s="579">
        <f t="shared" si="10"/>
        <v>-1.8542270362208941</v>
      </c>
      <c r="N37" s="579">
        <f t="shared" si="10"/>
        <v>-2.6755965427755108</v>
      </c>
      <c r="O37" s="579">
        <f t="shared" si="10"/>
        <v>-3.446059201854478</v>
      </c>
      <c r="P37" s="579">
        <f t="shared" si="10"/>
        <v>-4.1689937028143458</v>
      </c>
      <c r="Q37" s="579">
        <f t="shared" si="10"/>
        <v>-4.847540766672199</v>
      </c>
      <c r="R37" s="580">
        <f t="shared" si="10"/>
        <v>-5.4846210334385006</v>
      </c>
      <c r="S37" s="579">
        <f t="shared" si="10"/>
        <v>-6.0829515016702498</v>
      </c>
      <c r="T37" s="579">
        <f t="shared" si="10"/>
        <v>-6.6450606474269298</v>
      </c>
      <c r="U37" s="579">
        <f t="shared" si="10"/>
        <v>-7.1733023376279048</v>
      </c>
      <c r="V37" s="579">
        <f t="shared" si="10"/>
        <v>-7.6698686418999227</v>
      </c>
      <c r="W37" s="579">
        <f t="shared" si="10"/>
        <v>-8.1368016372223284</v>
      </c>
      <c r="X37" s="579">
        <f t="shared" si="10"/>
        <v>-8.5760042908985188</v>
      </c>
      <c r="Y37" s="579">
        <f t="shared" si="10"/>
        <v>-8.9892504994927513</v>
      </c>
      <c r="Z37" s="579">
        <f t="shared" si="10"/>
        <v>-9.3781943542748696</v>
      </c>
      <c r="AA37" s="581">
        <f t="shared" si="10"/>
        <v>-9.7443786973235138</v>
      </c>
    </row>
    <row r="38" spans="1:27">
      <c r="B38" s="90" t="s">
        <v>399</v>
      </c>
      <c r="G38" s="582"/>
      <c r="H38" s="579">
        <f>IF(H29&lt;0,1,IF(H29=0,0,-G29/H27))</f>
        <v>1</v>
      </c>
      <c r="I38" s="579">
        <f t="shared" ref="I38:AA38" si="11">IF(I29&lt;0,1,IF(I29=0,0,-H29/I27))</f>
        <v>1</v>
      </c>
      <c r="J38" s="579">
        <f t="shared" si="11"/>
        <v>1.2685765883475626</v>
      </c>
      <c r="K38" s="579">
        <f t="shared" si="11"/>
        <v>-6.4338822408691251E-2</v>
      </c>
      <c r="L38" s="579">
        <f t="shared" si="11"/>
        <v>-1.5755853636276189</v>
      </c>
      <c r="M38" s="579">
        <f t="shared" si="11"/>
        <v>-3.2848763025145256</v>
      </c>
      <c r="N38" s="579">
        <f t="shared" si="11"/>
        <v>-5.2139807356075227</v>
      </c>
      <c r="O38" s="579">
        <f t="shared" si="11"/>
        <v>-7.386933943692795</v>
      </c>
      <c r="P38" s="579">
        <f t="shared" si="11"/>
        <v>-9.8302690753446349</v>
      </c>
      <c r="Q38" s="579">
        <f t="shared" si="11"/>
        <v>-12.5732723135834</v>
      </c>
      <c r="R38" s="579">
        <f t="shared" si="11"/>
        <v>-15.648263897185695</v>
      </c>
      <c r="S38" s="579">
        <f t="shared" si="11"/>
        <v>-19.090907607059552</v>
      </c>
      <c r="T38" s="579">
        <f t="shared" si="11"/>
        <v>-22.940551591008393</v>
      </c>
      <c r="U38" s="579">
        <f t="shared" si="11"/>
        <v>-27.240603689564736</v>
      </c>
      <c r="V38" s="579">
        <f t="shared" si="11"/>
        <v>-32.038944744035</v>
      </c>
      <c r="W38" s="579">
        <f t="shared" si="11"/>
        <v>-37.388383718383814</v>
      </c>
      <c r="X38" s="579">
        <f t="shared" si="11"/>
        <v>-43.347158852318543</v>
      </c>
      <c r="Y38" s="579">
        <f t="shared" si="11"/>
        <v>-49.979489487448518</v>
      </c>
      <c r="Z38" s="579">
        <f t="shared" si="11"/>
        <v>-57.356183675590827</v>
      </c>
      <c r="AA38" s="579">
        <f t="shared" si="11"/>
        <v>-65.555307192453512</v>
      </c>
    </row>
    <row r="39" spans="1:27" ht="13.5" customHeight="1">
      <c r="B39" s="577" t="s">
        <v>398</v>
      </c>
      <c r="C39" s="163"/>
      <c r="D39" s="163"/>
      <c r="E39" s="163"/>
      <c r="F39" s="163"/>
      <c r="H39" s="223">
        <f t="shared" ref="H39:AA40" si="12">IF(H37&gt;0,H37,0)</f>
        <v>1</v>
      </c>
      <c r="I39" s="223">
        <f t="shared" si="12"/>
        <v>1</v>
      </c>
      <c r="J39" s="223">
        <f t="shared" si="12"/>
        <v>0.95310036690275157</v>
      </c>
      <c r="K39" s="223">
        <f>IF(K37&gt;0,K37,0)</f>
        <v>0</v>
      </c>
      <c r="L39" s="223">
        <f t="shared" si="12"/>
        <v>0</v>
      </c>
      <c r="M39" s="223">
        <f t="shared" si="12"/>
        <v>0</v>
      </c>
      <c r="N39" s="223">
        <f t="shared" si="12"/>
        <v>0</v>
      </c>
      <c r="O39" s="223">
        <f t="shared" si="12"/>
        <v>0</v>
      </c>
      <c r="P39" s="223">
        <f t="shared" si="12"/>
        <v>0</v>
      </c>
      <c r="Q39" s="223">
        <f t="shared" si="12"/>
        <v>0</v>
      </c>
      <c r="R39" s="576">
        <f t="shared" si="12"/>
        <v>0</v>
      </c>
      <c r="S39" s="223">
        <f t="shared" si="12"/>
        <v>0</v>
      </c>
      <c r="T39" s="223">
        <f t="shared" si="12"/>
        <v>0</v>
      </c>
      <c r="U39" s="223">
        <f t="shared" si="12"/>
        <v>0</v>
      </c>
      <c r="V39" s="223">
        <f t="shared" si="12"/>
        <v>0</v>
      </c>
      <c r="W39" s="223">
        <f t="shared" si="12"/>
        <v>0</v>
      </c>
      <c r="X39" s="223">
        <f t="shared" si="12"/>
        <v>0</v>
      </c>
      <c r="Y39" s="223">
        <f t="shared" si="12"/>
        <v>0</v>
      </c>
      <c r="Z39" s="223">
        <f>IF(Z37&gt;0,Z37,0)</f>
        <v>0</v>
      </c>
      <c r="AA39" s="306">
        <f t="shared" si="12"/>
        <v>0</v>
      </c>
    </row>
    <row r="40" spans="1:27">
      <c r="B40" s="90" t="s">
        <v>399</v>
      </c>
      <c r="C40" s="163"/>
      <c r="D40" s="163"/>
      <c r="E40" s="163"/>
      <c r="F40" s="163"/>
      <c r="H40" s="223">
        <f t="shared" si="12"/>
        <v>1</v>
      </c>
      <c r="I40" s="223">
        <f t="shared" si="12"/>
        <v>1</v>
      </c>
      <c r="J40" s="223">
        <f t="shared" si="12"/>
        <v>1.2685765883475626</v>
      </c>
      <c r="K40" s="223">
        <f t="shared" si="12"/>
        <v>0</v>
      </c>
      <c r="L40" s="223">
        <f t="shared" si="12"/>
        <v>0</v>
      </c>
      <c r="M40" s="223">
        <f t="shared" si="12"/>
        <v>0</v>
      </c>
      <c r="N40" s="223">
        <f t="shared" si="12"/>
        <v>0</v>
      </c>
      <c r="O40" s="223">
        <f t="shared" si="12"/>
        <v>0</v>
      </c>
      <c r="P40" s="223">
        <f t="shared" si="12"/>
        <v>0</v>
      </c>
      <c r="Q40" s="223">
        <f t="shared" si="12"/>
        <v>0</v>
      </c>
      <c r="R40" s="223">
        <f t="shared" si="12"/>
        <v>0</v>
      </c>
      <c r="S40" s="223">
        <f t="shared" si="12"/>
        <v>0</v>
      </c>
      <c r="T40" s="223">
        <f t="shared" si="12"/>
        <v>0</v>
      </c>
      <c r="U40" s="223">
        <f t="shared" si="12"/>
        <v>0</v>
      </c>
      <c r="V40" s="223">
        <f t="shared" si="12"/>
        <v>0</v>
      </c>
      <c r="W40" s="223">
        <f t="shared" si="12"/>
        <v>0</v>
      </c>
      <c r="X40" s="223">
        <f t="shared" si="12"/>
        <v>0</v>
      </c>
      <c r="Y40" s="223">
        <f t="shared" si="12"/>
        <v>0</v>
      </c>
      <c r="Z40" s="223">
        <f t="shared" si="12"/>
        <v>0</v>
      </c>
      <c r="AA40" s="223">
        <f t="shared" si="12"/>
        <v>0</v>
      </c>
    </row>
    <row r="42" spans="1:27">
      <c r="L42" s="226"/>
      <c r="M42" s="226"/>
      <c r="N42" s="226"/>
      <c r="O42" s="226"/>
      <c r="P42" s="226"/>
      <c r="Q42" s="226"/>
    </row>
    <row r="43" spans="1:27" ht="25.5">
      <c r="B43" s="163" t="s">
        <v>457</v>
      </c>
      <c r="L43" s="226"/>
      <c r="M43" s="226"/>
      <c r="N43" s="226"/>
      <c r="O43" s="226"/>
      <c r="P43" s="226"/>
      <c r="Q43" s="226"/>
    </row>
    <row r="44" spans="1:27">
      <c r="B44" s="163" t="s">
        <v>458</v>
      </c>
      <c r="L44" s="226"/>
      <c r="M44" s="226"/>
      <c r="N44" s="226"/>
      <c r="O44" s="226"/>
      <c r="P44" s="226"/>
      <c r="Q44" s="226"/>
    </row>
    <row r="45" spans="1:27">
      <c r="B45" s="1" t="s">
        <v>467</v>
      </c>
    </row>
    <row r="46" spans="1:27">
      <c r="B46" s="1" t="s">
        <v>459</v>
      </c>
      <c r="H46" s="32">
        <v>1</v>
      </c>
    </row>
    <row r="47" spans="1:27">
      <c r="B47" s="1" t="s">
        <v>75</v>
      </c>
    </row>
    <row r="48" spans="1:27">
      <c r="B48" s="1" t="s">
        <v>468</v>
      </c>
    </row>
    <row r="49" spans="2:16">
      <c r="B49" s="1" t="s">
        <v>460</v>
      </c>
    </row>
    <row r="51" spans="2:16" ht="14.45" customHeight="1">
      <c r="B51" s="1" t="s">
        <v>38</v>
      </c>
    </row>
    <row r="52" spans="2:16">
      <c r="B52" s="1" t="s">
        <v>39</v>
      </c>
    </row>
    <row r="53" spans="2:16">
      <c r="B53" s="1" t="s">
        <v>469</v>
      </c>
      <c r="E53" s="583"/>
      <c r="F53" s="583"/>
      <c r="G53" s="583"/>
      <c r="I53" s="226"/>
      <c r="J53" s="226"/>
      <c r="K53" s="226"/>
      <c r="L53" s="226"/>
      <c r="M53" s="226"/>
      <c r="N53" s="226"/>
      <c r="P53" s="226"/>
    </row>
    <row r="54" spans="2:16">
      <c r="E54" s="583"/>
      <c r="F54" s="583"/>
      <c r="G54" s="583"/>
      <c r="I54" s="229"/>
      <c r="J54" s="1083"/>
      <c r="K54" s="1083"/>
      <c r="L54" s="1083"/>
      <c r="M54" s="1083"/>
      <c r="N54" s="1083"/>
    </row>
    <row r="55" spans="2:16" ht="38.25">
      <c r="B55" s="337"/>
      <c r="E55" s="583"/>
      <c r="F55" s="583"/>
      <c r="G55" s="584" t="s">
        <v>470</v>
      </c>
      <c r="H55" s="585">
        <v>4.4999999999999998E-2</v>
      </c>
      <c r="I55" s="583"/>
      <c r="J55" s="583"/>
      <c r="K55" s="583"/>
      <c r="L55" s="226"/>
      <c r="M55" s="226"/>
      <c r="N55" s="226"/>
      <c r="P55" s="226"/>
    </row>
    <row r="56" spans="2:16" ht="25.5" customHeight="1">
      <c r="E56" s="583"/>
      <c r="F56" s="583"/>
      <c r="G56" s="451" t="s">
        <v>346</v>
      </c>
      <c r="H56" s="586">
        <v>4</v>
      </c>
      <c r="I56" s="229"/>
      <c r="J56" s="1083"/>
      <c r="K56" s="1083"/>
      <c r="L56" s="1083"/>
      <c r="M56" s="1083"/>
      <c r="N56" s="1083"/>
    </row>
    <row r="57" spans="2:16" ht="19.5" customHeight="1">
      <c r="I57" s="229"/>
      <c r="J57" s="1083"/>
      <c r="K57" s="1083"/>
      <c r="L57" s="1083"/>
      <c r="M57" s="1083"/>
      <c r="N57" s="1083"/>
    </row>
    <row r="58" spans="2:16">
      <c r="I58" s="226"/>
      <c r="J58" s="226"/>
      <c r="K58" s="226"/>
      <c r="L58" s="226"/>
      <c r="M58" s="226"/>
      <c r="N58" s="226"/>
      <c r="P58" s="226"/>
    </row>
    <row r="59" spans="2:16">
      <c r="I59" s="226"/>
      <c r="J59" s="226"/>
      <c r="K59" s="226"/>
      <c r="L59" s="226"/>
      <c r="M59" s="226"/>
      <c r="N59" s="226"/>
      <c r="P59" s="226"/>
    </row>
    <row r="70" spans="8:13">
      <c r="H70" s="199"/>
      <c r="I70" s="199"/>
      <c r="J70" s="199"/>
      <c r="K70" s="199"/>
      <c r="L70" s="199"/>
      <c r="M70" s="199"/>
    </row>
    <row r="71" spans="8:13">
      <c r="H71" s="231" t="s">
        <v>87</v>
      </c>
      <c r="I71" s="231" t="s">
        <v>455</v>
      </c>
      <c r="J71" s="231" t="s">
        <v>456</v>
      </c>
      <c r="K71" s="231"/>
      <c r="L71" s="231">
        <v>0.05</v>
      </c>
      <c r="M71" s="231"/>
    </row>
    <row r="72" spans="8:13">
      <c r="H72" s="231">
        <v>350000</v>
      </c>
      <c r="I72" s="231">
        <v>200000</v>
      </c>
      <c r="J72" s="231">
        <v>120000</v>
      </c>
      <c r="K72" s="231"/>
      <c r="L72" s="231"/>
      <c r="M72" s="231"/>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BF563680-3592-4F3A-A0D6-2E38E486E7DA}"/>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4F801-DD64-4D63-8948-EC51429A12D6}">
  <sheetPr codeName="Sheet46"/>
  <dimension ref="A1:AB72"/>
  <sheetViews>
    <sheetView showGridLines="0" zoomScaleNormal="100" workbookViewId="0">
      <pane ySplit="9" topLeftCell="A25" activePane="bottomLeft" state="frozen"/>
      <selection activeCell="G26" sqref="G26"/>
      <selection pane="bottomLeft" activeCell="G34" sqref="G34"/>
    </sheetView>
  </sheetViews>
  <sheetFormatPr defaultColWidth="8.7109375" defaultRowHeight="12.75"/>
  <cols>
    <col min="1" max="1" width="8.85546875" style="58"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2" customWidth="1"/>
    <col min="9" max="10" width="14" style="32" customWidth="1"/>
    <col min="11" max="11" width="16" style="32"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7" width="19.28515625" style="32" customWidth="1"/>
    <col min="28" max="16384" width="8.7109375" style="1"/>
  </cols>
  <sheetData>
    <row r="1" spans="1:28">
      <c r="A1" s="1079" t="s">
        <v>461</v>
      </c>
      <c r="B1" s="1080"/>
      <c r="C1" s="166">
        <v>1</v>
      </c>
      <c r="D1" s="166">
        <v>2</v>
      </c>
      <c r="E1" s="166">
        <v>3</v>
      </c>
      <c r="F1" s="166">
        <v>4</v>
      </c>
      <c r="G1" s="166"/>
      <c r="H1" s="166">
        <v>5</v>
      </c>
      <c r="I1" s="166">
        <v>6</v>
      </c>
      <c r="J1" s="166">
        <v>7</v>
      </c>
      <c r="K1" s="166">
        <v>8</v>
      </c>
      <c r="L1" s="166">
        <v>9</v>
      </c>
      <c r="M1" s="166">
        <v>10</v>
      </c>
      <c r="N1" s="166">
        <v>11</v>
      </c>
      <c r="O1" s="166">
        <v>12</v>
      </c>
      <c r="P1" s="166">
        <v>13</v>
      </c>
      <c r="Q1" s="166">
        <v>14</v>
      </c>
      <c r="R1" s="530">
        <v>15</v>
      </c>
      <c r="S1" s="166">
        <v>16</v>
      </c>
      <c r="T1" s="166">
        <v>17</v>
      </c>
      <c r="U1" s="166">
        <v>18</v>
      </c>
      <c r="V1" s="166">
        <v>19</v>
      </c>
      <c r="W1" s="166">
        <v>20</v>
      </c>
      <c r="X1" s="166">
        <v>21</v>
      </c>
      <c r="Y1" s="166">
        <v>22</v>
      </c>
      <c r="Z1" s="166">
        <v>23</v>
      </c>
      <c r="AA1" s="531">
        <v>24</v>
      </c>
    </row>
    <row r="2" spans="1:28" ht="12" customHeight="1">
      <c r="A2" s="1088" t="s">
        <v>462</v>
      </c>
      <c r="B2" s="1089"/>
      <c r="C2" s="158"/>
      <c r="D2" s="158"/>
      <c r="E2" s="158"/>
      <c r="F2" s="158"/>
      <c r="G2" s="158"/>
      <c r="H2" s="168">
        <v>0.9</v>
      </c>
      <c r="I2" s="168">
        <v>1</v>
      </c>
      <c r="J2" s="168">
        <v>1</v>
      </c>
      <c r="K2" s="168">
        <v>1</v>
      </c>
      <c r="L2" s="168">
        <v>1</v>
      </c>
      <c r="M2" s="168">
        <v>1</v>
      </c>
      <c r="N2" s="168">
        <v>1</v>
      </c>
      <c r="O2" s="168">
        <v>1</v>
      </c>
      <c r="P2" s="168">
        <v>1</v>
      </c>
      <c r="Q2" s="168">
        <v>1</v>
      </c>
      <c r="R2" s="532">
        <v>1</v>
      </c>
      <c r="S2" s="168">
        <v>1</v>
      </c>
      <c r="T2" s="168">
        <v>1</v>
      </c>
      <c r="U2" s="168">
        <v>1</v>
      </c>
      <c r="V2" s="168">
        <v>1</v>
      </c>
      <c r="W2" s="168">
        <v>1</v>
      </c>
      <c r="X2" s="168">
        <v>1</v>
      </c>
      <c r="Y2" s="168">
        <v>1</v>
      </c>
      <c r="Z2" s="168">
        <v>1</v>
      </c>
      <c r="AA2" s="533">
        <v>1</v>
      </c>
    </row>
    <row r="3" spans="1:28" s="167" customFormat="1" ht="15" customHeight="1">
      <c r="A3" s="1086"/>
      <c r="B3" s="169" t="s">
        <v>24</v>
      </c>
      <c r="C3" s="169"/>
      <c r="D3" s="169"/>
      <c r="E3" s="169"/>
      <c r="F3" s="169"/>
      <c r="G3" s="170"/>
      <c r="H3" s="1078" t="s">
        <v>25</v>
      </c>
      <c r="I3" s="1078"/>
      <c r="J3" s="1078"/>
      <c r="K3" s="1078"/>
      <c r="L3" s="1078"/>
      <c r="M3" s="1078"/>
      <c r="N3" s="1078"/>
      <c r="O3" s="1078"/>
      <c r="P3" s="1078"/>
      <c r="Q3" s="1078"/>
      <c r="R3" s="1095" t="s">
        <v>25</v>
      </c>
      <c r="S3" s="1078"/>
      <c r="T3" s="1078"/>
      <c r="U3" s="1078"/>
      <c r="V3" s="1078"/>
      <c r="W3" s="1078"/>
      <c r="X3" s="1078"/>
      <c r="Y3" s="1078"/>
      <c r="Z3" s="1078"/>
      <c r="AA3" s="1096"/>
    </row>
    <row r="4" spans="1:28" s="167" customFormat="1" ht="15" customHeight="1">
      <c r="A4" s="1090"/>
      <c r="B4" s="1081" t="s">
        <v>26</v>
      </c>
      <c r="C4" s="171">
        <v>2023</v>
      </c>
      <c r="D4" s="171">
        <v>2024</v>
      </c>
      <c r="E4" s="171">
        <v>2025</v>
      </c>
      <c r="F4" s="171">
        <v>2026</v>
      </c>
      <c r="G4" s="171" t="s">
        <v>150</v>
      </c>
      <c r="H4" s="171">
        <v>2027</v>
      </c>
      <c r="I4" s="171">
        <v>2028</v>
      </c>
      <c r="J4" s="171">
        <v>2029</v>
      </c>
      <c r="K4" s="171">
        <v>2030</v>
      </c>
      <c r="L4" s="171">
        <v>2031</v>
      </c>
      <c r="M4" s="171">
        <v>2032</v>
      </c>
      <c r="N4" s="171">
        <v>2033</v>
      </c>
      <c r="O4" s="171">
        <v>2034</v>
      </c>
      <c r="P4" s="171">
        <v>2035</v>
      </c>
      <c r="Q4" s="534">
        <v>2036</v>
      </c>
      <c r="R4" s="171">
        <v>2037</v>
      </c>
      <c r="S4" s="171">
        <v>2038</v>
      </c>
      <c r="T4" s="171">
        <v>2039</v>
      </c>
      <c r="U4" s="171">
        <v>2040</v>
      </c>
      <c r="V4" s="171">
        <v>2041</v>
      </c>
      <c r="W4" s="171">
        <v>2042</v>
      </c>
      <c r="X4" s="171">
        <v>2043</v>
      </c>
      <c r="Y4" s="171">
        <v>2044</v>
      </c>
      <c r="Z4" s="171">
        <v>2045</v>
      </c>
      <c r="AA4" s="171">
        <v>2046</v>
      </c>
    </row>
    <row r="5" spans="1:28">
      <c r="A5" s="1091"/>
      <c r="B5" s="1082"/>
      <c r="C5" s="172">
        <v>0.05</v>
      </c>
      <c r="D5" s="172">
        <v>0.25</v>
      </c>
      <c r="E5" s="172">
        <v>0.35</v>
      </c>
      <c r="F5" s="172">
        <v>0.35</v>
      </c>
      <c r="G5" s="173"/>
      <c r="H5" s="174"/>
      <c r="I5" s="174"/>
      <c r="J5" s="174"/>
      <c r="K5" s="174"/>
      <c r="L5" s="174"/>
      <c r="M5" s="174"/>
      <c r="N5" s="175"/>
      <c r="O5" s="174"/>
      <c r="P5" s="175"/>
      <c r="Q5" s="174"/>
      <c r="R5" s="535"/>
      <c r="S5" s="176"/>
      <c r="T5" s="176"/>
      <c r="U5" s="176"/>
      <c r="V5" s="176"/>
      <c r="W5" s="176"/>
      <c r="X5" s="176"/>
      <c r="Y5" s="176"/>
      <c r="Z5" s="176"/>
      <c r="AA5" s="536"/>
    </row>
    <row r="6" spans="1:28">
      <c r="A6" s="1084" t="s">
        <v>241</v>
      </c>
      <c r="B6" s="1085"/>
      <c r="C6" s="1085"/>
      <c r="D6" s="1085"/>
      <c r="E6" s="1085"/>
      <c r="F6" s="1085"/>
      <c r="G6" s="1085"/>
      <c r="H6" s="177"/>
      <c r="I6" s="177"/>
      <c r="J6" s="177"/>
      <c r="K6" s="177"/>
      <c r="L6" s="177"/>
      <c r="M6" s="177"/>
      <c r="N6" s="178"/>
      <c r="O6" s="177"/>
      <c r="P6" s="178"/>
      <c r="Q6" s="177"/>
      <c r="R6" s="537"/>
      <c r="S6" s="179"/>
      <c r="T6" s="179"/>
      <c r="U6" s="179"/>
      <c r="V6" s="179"/>
      <c r="W6" s="179"/>
      <c r="X6" s="179"/>
      <c r="Y6" s="179"/>
      <c r="Z6" s="179"/>
      <c r="AA6" s="538"/>
    </row>
    <row r="7" spans="1:28">
      <c r="A7" s="180">
        <v>1</v>
      </c>
      <c r="B7" s="181" t="s">
        <v>239</v>
      </c>
      <c r="C7" s="182">
        <f>ROUND($G7*C$5,2)</f>
        <v>-88.43</v>
      </c>
      <c r="D7" s="182">
        <f>ROUND($G7*D$5,2)</f>
        <v>-442.17</v>
      </c>
      <c r="E7" s="182">
        <f>ROUND($G7*E$5,2)</f>
        <v>-619.04</v>
      </c>
      <c r="F7" s="182">
        <f>ROUND($G7*F$5,2)</f>
        <v>-619.04</v>
      </c>
      <c r="G7" s="587">
        <f>-[11]Capex!D22</f>
        <v>-1768.675</v>
      </c>
      <c r="H7" s="183"/>
      <c r="I7" s="183"/>
      <c r="J7" s="183"/>
      <c r="K7" s="183"/>
      <c r="L7" s="183"/>
      <c r="M7" s="183"/>
      <c r="N7" s="185"/>
      <c r="O7" s="183"/>
      <c r="P7" s="183"/>
      <c r="Q7" s="183"/>
      <c r="R7" s="539"/>
      <c r="S7" s="186"/>
      <c r="T7" s="186"/>
      <c r="U7" s="186"/>
      <c r="V7" s="186"/>
      <c r="W7" s="186"/>
      <c r="X7" s="186"/>
      <c r="Y7" s="186"/>
      <c r="Z7" s="186"/>
      <c r="AA7" s="540"/>
    </row>
    <row r="8" spans="1:28">
      <c r="A8" s="187"/>
      <c r="B8" s="541" t="s">
        <v>240</v>
      </c>
      <c r="C8" s="542">
        <f>SUM(C7:C7)</f>
        <v>-88.43</v>
      </c>
      <c r="D8" s="542">
        <f>SUM(D7:D7)</f>
        <v>-442.17</v>
      </c>
      <c r="E8" s="542">
        <f>SUM(E7:E7)</f>
        <v>-619.04</v>
      </c>
      <c r="F8" s="542">
        <f>SUM(F7:F7)</f>
        <v>-619.04</v>
      </c>
      <c r="G8" s="242">
        <f>G7</f>
        <v>-1768.675</v>
      </c>
      <c r="H8" s="191"/>
      <c r="I8" s="191"/>
      <c r="J8" s="191"/>
      <c r="K8" s="191"/>
      <c r="L8" s="191"/>
      <c r="M8" s="191"/>
      <c r="N8" s="192"/>
      <c r="O8" s="192"/>
      <c r="P8" s="192"/>
      <c r="Q8" s="192"/>
      <c r="R8" s="543"/>
      <c r="S8" s="193"/>
      <c r="T8" s="193"/>
      <c r="U8" s="193"/>
      <c r="V8" s="193"/>
      <c r="W8" s="193"/>
      <c r="X8" s="193"/>
      <c r="Y8" s="193"/>
      <c r="Z8" s="193"/>
      <c r="AA8" s="544"/>
    </row>
    <row r="9" spans="1:28">
      <c r="A9" s="53"/>
      <c r="B9" s="545" t="s">
        <v>221</v>
      </c>
      <c r="C9" s="545"/>
      <c r="D9" s="545"/>
      <c r="E9" s="545"/>
      <c r="F9" s="545"/>
      <c r="G9" s="546"/>
      <c r="H9" s="547">
        <v>0.9</v>
      </c>
      <c r="I9" s="547">
        <v>0.9</v>
      </c>
      <c r="J9" s="547">
        <v>1</v>
      </c>
      <c r="K9" s="547">
        <v>1</v>
      </c>
      <c r="L9" s="547">
        <v>1</v>
      </c>
      <c r="M9" s="547">
        <v>1</v>
      </c>
      <c r="N9" s="547">
        <v>1</v>
      </c>
      <c r="O9" s="547">
        <v>1</v>
      </c>
      <c r="P9" s="547">
        <v>1</v>
      </c>
      <c r="Q9" s="547">
        <v>1</v>
      </c>
      <c r="R9" s="548">
        <v>1</v>
      </c>
      <c r="S9" s="547">
        <v>1</v>
      </c>
      <c r="T9" s="547">
        <v>1</v>
      </c>
      <c r="U9" s="547">
        <v>1</v>
      </c>
      <c r="V9" s="547">
        <v>1</v>
      </c>
      <c r="W9" s="547">
        <v>1</v>
      </c>
      <c r="X9" s="547">
        <v>1</v>
      </c>
      <c r="Y9" s="547">
        <v>1</v>
      </c>
      <c r="Z9" s="547">
        <v>1</v>
      </c>
      <c r="AA9" s="549">
        <v>1</v>
      </c>
    </row>
    <row r="10" spans="1:28" s="167" customFormat="1">
      <c r="A10" s="194">
        <v>2</v>
      </c>
      <c r="B10" s="195" t="s">
        <v>27</v>
      </c>
      <c r="C10" s="195"/>
      <c r="D10" s="195"/>
      <c r="E10" s="195"/>
      <c r="F10" s="195"/>
      <c r="G10" s="196"/>
      <c r="H10" s="197">
        <f>H11+H12</f>
        <v>2035.2829305093751</v>
      </c>
      <c r="I10" s="197">
        <f>I11+I12</f>
        <v>2393.1580027410423</v>
      </c>
      <c r="J10" s="197">
        <f t="shared" ref="J10:AA10" si="0">J11+J12</f>
        <v>2532.5647444396996</v>
      </c>
      <c r="K10" s="197">
        <f t="shared" si="0"/>
        <v>2680.0928041001916</v>
      </c>
      <c r="L10" s="197">
        <f t="shared" si="0"/>
        <v>2836.215332307238</v>
      </c>
      <c r="M10" s="197">
        <f t="shared" si="0"/>
        <v>3001.4330474494791</v>
      </c>
      <c r="N10" s="197">
        <f t="shared" si="0"/>
        <v>3176.2758420491173</v>
      </c>
      <c r="O10" s="197">
        <f t="shared" si="0"/>
        <v>3361.304482696059</v>
      </c>
      <c r="P10" s="197">
        <f t="shared" si="0"/>
        <v>3557.112409041446</v>
      </c>
      <c r="Q10" s="197">
        <f t="shared" si="0"/>
        <v>3764.3276376234389</v>
      </c>
      <c r="R10" s="550">
        <f t="shared" si="0"/>
        <v>3983.6147766344848</v>
      </c>
      <c r="S10" s="197">
        <f t="shared" si="0"/>
        <v>4215.6771580954173</v>
      </c>
      <c r="T10" s="197">
        <f t="shared" si="0"/>
        <v>4461.2590942785073</v>
      </c>
      <c r="U10" s="197">
        <f t="shared" si="0"/>
        <v>4721.1482656203543</v>
      </c>
      <c r="V10" s="197">
        <f t="shared" si="0"/>
        <v>4996.1782477875067</v>
      </c>
      <c r="W10" s="197">
        <f t="shared" si="0"/>
        <v>5287.2311860043483</v>
      </c>
      <c r="X10" s="197">
        <f t="shared" si="0"/>
        <v>5595.2406252253295</v>
      </c>
      <c r="Y10" s="197">
        <f t="shared" si="0"/>
        <v>5921.1945052339461</v>
      </c>
      <c r="Z10" s="197">
        <f t="shared" si="0"/>
        <v>6266.1383302800223</v>
      </c>
      <c r="AA10" s="551">
        <f t="shared" si="0"/>
        <v>6631.1785234272465</v>
      </c>
    </row>
    <row r="11" spans="1:28">
      <c r="A11" s="52"/>
      <c r="B11" s="162" t="s">
        <v>455</v>
      </c>
      <c r="C11" s="162"/>
      <c r="D11" s="162"/>
      <c r="E11" s="162"/>
      <c r="F11" s="162"/>
      <c r="G11" s="201"/>
      <c r="H11" s="202">
        <v>1386.6910392857144</v>
      </c>
      <c r="I11" s="202">
        <v>1631.0337042469644</v>
      </c>
      <c r="J11" s="202">
        <v>1726.5878138102726</v>
      </c>
      <c r="K11" s="202">
        <v>1827.7399608823475</v>
      </c>
      <c r="L11" s="202">
        <v>1934.8181064906394</v>
      </c>
      <c r="M11" s="202">
        <v>2048.1694252593934</v>
      </c>
      <c r="N11" s="202">
        <v>2168.1614310382142</v>
      </c>
      <c r="O11" s="202">
        <v>2295.1831684755884</v>
      </c>
      <c r="P11" s="202">
        <v>2429.6464744007299</v>
      </c>
      <c r="Q11" s="202">
        <v>2571.9873131034965</v>
      </c>
      <c r="R11" s="202">
        <v>2722.6671898416648</v>
      </c>
      <c r="S11" s="202">
        <v>2882.1746471585388</v>
      </c>
      <c r="T11" s="202">
        <v>3051.026848862321</v>
      </c>
      <c r="U11" s="202">
        <v>3229.7712568029201</v>
      </c>
      <c r="V11" s="202">
        <v>3418.9874058827181</v>
      </c>
      <c r="W11" s="202">
        <v>3619.2887830563573</v>
      </c>
      <c r="X11" s="202">
        <v>3831.3248164117126</v>
      </c>
      <c r="Y11" s="202">
        <v>4055.7829807811931</v>
      </c>
      <c r="Z11" s="202">
        <v>4293.3910267102583</v>
      </c>
      <c r="AA11" s="202">
        <v>4544.9193400100785</v>
      </c>
    </row>
    <row r="12" spans="1:28">
      <c r="A12" s="52"/>
      <c r="B12" s="162" t="s">
        <v>456</v>
      </c>
      <c r="C12" s="162"/>
      <c r="D12" s="162"/>
      <c r="E12" s="162"/>
      <c r="F12" s="162"/>
      <c r="G12" s="201"/>
      <c r="H12" s="202">
        <v>648.5918912236607</v>
      </c>
      <c r="I12" s="202">
        <v>762.12429849407783</v>
      </c>
      <c r="J12" s="202">
        <v>805.97693062942699</v>
      </c>
      <c r="K12" s="202">
        <v>852.35284321784422</v>
      </c>
      <c r="L12" s="202">
        <v>901.39722581659873</v>
      </c>
      <c r="M12" s="202">
        <v>953.26362219008581</v>
      </c>
      <c r="N12" s="202">
        <v>1008.1144110109032</v>
      </c>
      <c r="O12" s="202">
        <v>1066.1213142204706</v>
      </c>
      <c r="P12" s="202">
        <v>1127.4659346407161</v>
      </c>
      <c r="Q12" s="202">
        <v>1192.3403245199427</v>
      </c>
      <c r="R12" s="202">
        <v>1260.9475867928199</v>
      </c>
      <c r="S12" s="202">
        <v>1333.5025109368789</v>
      </c>
      <c r="T12" s="202">
        <v>1410.2322454161865</v>
      </c>
      <c r="U12" s="202">
        <v>1491.3770088174342</v>
      </c>
      <c r="V12" s="202">
        <v>1577.1908419047888</v>
      </c>
      <c r="W12" s="202">
        <v>1667.9424029479906</v>
      </c>
      <c r="X12" s="202">
        <v>1763.9158088136171</v>
      </c>
      <c r="Y12" s="202">
        <v>1865.4115244527527</v>
      </c>
      <c r="Z12" s="202">
        <v>1972.7473035697635</v>
      </c>
      <c r="AA12" s="202">
        <v>2086.2591834171676</v>
      </c>
    </row>
    <row r="13" spans="1:28">
      <c r="A13" s="194">
        <v>5</v>
      </c>
      <c r="B13" s="195" t="s">
        <v>107</v>
      </c>
      <c r="C13" s="195"/>
      <c r="D13" s="195"/>
      <c r="E13" s="195"/>
      <c r="F13" s="195"/>
      <c r="G13" s="207"/>
      <c r="H13" s="183"/>
      <c r="I13" s="183"/>
      <c r="J13" s="183"/>
      <c r="K13" s="183"/>
      <c r="L13" s="183"/>
      <c r="M13" s="183"/>
      <c r="N13" s="183"/>
      <c r="O13" s="183"/>
      <c r="P13" s="183"/>
      <c r="Q13" s="183"/>
      <c r="R13" s="539"/>
      <c r="S13" s="186"/>
      <c r="T13" s="186"/>
      <c r="U13" s="186"/>
      <c r="V13" s="186"/>
      <c r="W13" s="186"/>
      <c r="X13" s="186"/>
      <c r="Y13" s="186"/>
      <c r="Z13" s="186"/>
      <c r="AA13" s="540"/>
    </row>
    <row r="14" spans="1:28">
      <c r="A14" s="52"/>
      <c r="B14" s="17" t="s">
        <v>463</v>
      </c>
      <c r="C14" s="17"/>
      <c r="D14" s="17"/>
      <c r="E14" s="17"/>
      <c r="F14" s="17"/>
      <c r="G14" s="208">
        <f>J14/$J$19</f>
        <v>0.8099763898250113</v>
      </c>
      <c r="H14" s="202">
        <f>IF(H$1&lt;=$H$56,0,'Opex Phenol'!D24*H$2*(1+$H$55)^(H$1-$H$56-1))</f>
        <v>1266.1171806043806</v>
      </c>
      <c r="I14" s="202">
        <f>IF(I$1&lt;=$H$56,0,'Opex Phenol'!E24*I$2*(1+$H$55)^(I$1-$H$56-1))</f>
        <v>1487.7439590848408</v>
      </c>
      <c r="J14" s="202">
        <f>IF(J$1&lt;=$H$56,0,'Opex Phenol'!F24*J$2*(1+$H$55)^(J$1-$H$56-1))</f>
        <v>1573.3487464905822</v>
      </c>
      <c r="K14" s="202">
        <f>IF(K$1&lt;=$H$56,0,'Opex Phenol'!G24*K$2*(1+$H$55)^(K$1-$H$56-1))</f>
        <v>1663.8792333636504</v>
      </c>
      <c r="L14" s="202">
        <f>IF(L$1&lt;=$H$56,0,'Opex Phenol'!H24*L$2*(1+$H$55)^(L$1-$H$56-1))</f>
        <v>1759.6188444513944</v>
      </c>
      <c r="M14" s="202">
        <f>IF(M$1&lt;=$H$56,0,'Opex Phenol'!I24*M$2*(1+$H$55)^(M$1-$H$56-1))</f>
        <v>1860.8673127611273</v>
      </c>
      <c r="N14" s="202">
        <f>IF(N$1&lt;=$H$56,0,'Opex Phenol'!J24*N$2*(1+$H$55)^(N$1-$H$56-1))</f>
        <v>1967.9416179374023</v>
      </c>
      <c r="O14" s="202">
        <f>IF(O$1&lt;=$H$56,0,'Opex Phenol'!K24*O$2*(1+$H$55)^(O$1-$H$56-1))</f>
        <v>2081.1769786335203</v>
      </c>
      <c r="P14" s="202">
        <f>IF(P$1&lt;=$H$56,0,'Opex Phenol'!L24*P$2*(1+$H$55)^(P$1-$H$56-1))</f>
        <v>2200.9279019840924</v>
      </c>
      <c r="Q14" s="202">
        <f>IF(Q$1&lt;=$H$56,0,'Opex Phenol'!M24*Q$2*(1+$H$55)^(Q$1-$H$56-1))</f>
        <v>2327.569293464257</v>
      </c>
      <c r="R14" s="202">
        <f>IF(R$1&lt;=$H$56,0,'Opex Phenol'!N24*R$2*(1+$H$55)^(R$1-$H$56-1))</f>
        <v>2461.4976306101898</v>
      </c>
      <c r="S14" s="202">
        <f>IF(S$1&lt;=$H$56,0,'Opex Phenol'!O24*S$2*(1+$H$55)^(S$1-$H$56-1))</f>
        <v>2603.1322042755005</v>
      </c>
      <c r="T14" s="202">
        <f>IF(T$1&lt;=$H$56,0,'Opex Phenol'!P24*T$2*(1+$H$55)^(T$1-$H$56-1))</f>
        <v>2752.9164313095116</v>
      </c>
      <c r="U14" s="202">
        <f>IF(U$1&lt;=$H$56,0,'Opex Phenol'!Q24*U$2*(1+$H$55)^(U$1-$H$56-1))</f>
        <v>2911.319242767061</v>
      </c>
      <c r="V14" s="202">
        <f>IF(V$1&lt;=$H$56,0,'Opex Phenol'!R24*V$2*(1+$H$55)^(V$1-$H$56-1))</f>
        <v>3078.836551995877</v>
      </c>
      <c r="W14" s="202">
        <f>IF(W$1&lt;=$H$56,0,'Opex Phenol'!S24*W$2*(1+$H$55)^(W$1-$H$56-1))</f>
        <v>3255.9928071977201</v>
      </c>
      <c r="X14" s="202">
        <f>IF(X$1&lt;=$H$56,0,'Opex Phenol'!T24*X$2*(1+$H$55)^(X$1-$H$56-1))</f>
        <v>3443.3426333238754</v>
      </c>
      <c r="Y14" s="202">
        <f>IF(Y$1&lt;=$H$56,0,'Opex Phenol'!U24*Y$2*(1+$H$55)^(Y$1-$H$56-1))</f>
        <v>3641.4725684453315</v>
      </c>
      <c r="Z14" s="202">
        <f>IF(Z$1&lt;=$H$56,0,'Opex Phenol'!V24*Z$2*(1+$H$55)^(Z$1-$H$56-1))</f>
        <v>3851.0029000336749</v>
      </c>
      <c r="AA14" s="202">
        <f>IF(AA$1&lt;=$H$56,0,'Opex Phenol'!W24*AA$2*(1+$H$55)^(AA$1-$H$56-1))</f>
        <v>4072.5896069016121</v>
      </c>
    </row>
    <row r="15" spans="1:28">
      <c r="A15" s="52"/>
      <c r="B15" s="17" t="s">
        <v>29</v>
      </c>
      <c r="C15" s="17"/>
      <c r="D15" s="17"/>
      <c r="E15" s="17"/>
      <c r="F15" s="17"/>
      <c r="G15" s="208">
        <f>J15/$J$19</f>
        <v>1.5128422330215621E-2</v>
      </c>
      <c r="H15" s="202">
        <f>IF(H$1&lt;=$H$56,0,'Opex Phenol'!$D$27*(1+$H$55)^(H$1-$H$56-1))</f>
        <v>26.91</v>
      </c>
      <c r="I15" s="202">
        <f>IF(I$1&lt;=$H$56,0,'Opex Phenol'!$D$27*(1+$H$55)^(I$1-$H$56-1))</f>
        <v>28.120949999999997</v>
      </c>
      <c r="J15" s="202">
        <f>IF(J$1&lt;=$H$56,0,'Opex Phenol'!$D$27*(1+$H$55)^(J$1-$H$56-1))</f>
        <v>29.386392749999995</v>
      </c>
      <c r="K15" s="202">
        <f>IF(K$1&lt;=$H$56,0,'Opex Phenol'!$D$27*(1+$H$55)^(K$1-$H$56-1))</f>
        <v>30.708780423749996</v>
      </c>
      <c r="L15" s="202">
        <f>IF(L$1&lt;=$H$56,0,'Opex Phenol'!$D$27*(1+$H$55)^(L$1-$H$56-1))</f>
        <v>32.090675542818737</v>
      </c>
      <c r="M15" s="202">
        <f>IF(M$1&lt;=$H$56,0,'Opex Phenol'!$D$27*(1+$H$55)^(M$1-$H$56-1))</f>
        <v>33.534755942245582</v>
      </c>
      <c r="N15" s="202">
        <f>IF(N$1&lt;=$H$56,0,'Opex Phenol'!$D$27*(1+$H$55)^(N$1-$H$56-1))</f>
        <v>35.043819959646619</v>
      </c>
      <c r="O15" s="202">
        <f>IF(O$1&lt;=$H$56,0,'Opex Phenol'!$D$27*(1+$H$55)^(O$1-$H$56-1))</f>
        <v>36.620791857830724</v>
      </c>
      <c r="P15" s="202">
        <f>IF(P$1&lt;=$H$56,0,'Opex Phenol'!$D$27*(1+$H$55)^(P$1-$H$56-1))</f>
        <v>38.26872749143309</v>
      </c>
      <c r="Q15" s="202">
        <f>IF(Q$1&lt;=$H$56,0,'Opex Phenol'!$D$27*(1+$H$55)^(Q$1-$H$56-1))</f>
        <v>39.990820228547577</v>
      </c>
      <c r="R15" s="202">
        <f>IF(R$1&lt;=$H$56,0,'Opex Phenol'!$D$27*(1+$H$55)^(R$1-$H$56-1))</f>
        <v>41.790407138832215</v>
      </c>
      <c r="S15" s="202">
        <f>IF(S$1&lt;=$H$56,0,'Opex Phenol'!$D$27*(1+$H$55)^(S$1-$H$56-1))</f>
        <v>43.67097546007966</v>
      </c>
      <c r="T15" s="202">
        <f>IF(T$1&lt;=$H$56,0,'Opex Phenol'!$D$27*(1+$H$55)^(T$1-$H$56-1))</f>
        <v>45.636169355783238</v>
      </c>
      <c r="U15" s="202">
        <f>IF(U$1&lt;=$H$56,0,'Opex Phenol'!$D$27*(1+$H$55)^(U$1-$H$56-1))</f>
        <v>47.689796976793488</v>
      </c>
      <c r="V15" s="202">
        <f>IF(V$1&lt;=$H$56,0,'Opex Phenol'!$D$27*(1+$H$55)^(V$1-$H$56-1))</f>
        <v>49.835837840749178</v>
      </c>
      <c r="W15" s="202">
        <f>IF(W$1&lt;=$H$56,0,'Opex Phenol'!$D$27*(1+$H$55)^(W$1-$H$56-1))</f>
        <v>52.078450543582896</v>
      </c>
      <c r="X15" s="202">
        <f>IF(X$1&lt;=$H$56,0,'Opex Phenol'!$D$27*(1+$H$55)^(X$1-$H$56-1))</f>
        <v>54.421980818044105</v>
      </c>
      <c r="Y15" s="202">
        <f>IF(Y$1&lt;=$H$56,0,'Opex Phenol'!$D$27*(1+$H$55)^(Y$1-$H$56-1))</f>
        <v>56.870969954856093</v>
      </c>
      <c r="Z15" s="202">
        <f>IF(Z$1&lt;=$H$56,0,'Opex Phenol'!$D$27*(1+$H$55)^(Z$1-$H$56-1))</f>
        <v>59.430163602824607</v>
      </c>
      <c r="AA15" s="202">
        <f>IF(AA$1&lt;=$H$56,0,'Opex Phenol'!$D$27*(1+$H$55)^(AA$1-$H$56-1))</f>
        <v>62.10452096495171</v>
      </c>
    </row>
    <row r="16" spans="1:28">
      <c r="A16" s="52"/>
      <c r="B16" s="17" t="s">
        <v>17</v>
      </c>
      <c r="C16" s="17"/>
      <c r="D16" s="17"/>
      <c r="E16" s="17"/>
      <c r="F16" s="17"/>
      <c r="G16" s="208">
        <f>J16/$J$19</f>
        <v>0.11191711714001053</v>
      </c>
      <c r="H16" s="202">
        <f>IF(H$1&lt;=$H$56,0,'Opex Phenol'!$D$29*H$2*(1+$H$55)^(H$1-$H$56-1))</f>
        <v>179.16743734740004</v>
      </c>
      <c r="I16" s="202">
        <f>IF(I$1&lt;=$H$56,0,'Opex Phenol'!$D$29*I$2*(1+$H$55)^(I$1-$H$56-1))</f>
        <v>208.03330225337001</v>
      </c>
      <c r="J16" s="202">
        <f>IF(J$1&lt;=$H$56,0,'Opex Phenol'!$D$29*J$2*(1+$H$55)^(J$1-$H$56-1))</f>
        <v>217.39480085477166</v>
      </c>
      <c r="K16" s="202">
        <f>IF(K$1&lt;=$H$56,0,'Opex Phenol'!$D$29*K$2*(1+$H$55)^(K$1-$H$56-1))</f>
        <v>227.17756689323639</v>
      </c>
      <c r="L16" s="202">
        <f>IF(L$1&lt;=$H$56,0,'Opex Phenol'!$D$29*L$2*(1+$H$55)^(L$1-$H$56-1))</f>
        <v>237.40055740343195</v>
      </c>
      <c r="M16" s="202">
        <f>IF(M$1&lt;=$H$56,0,'Opex Phenol'!$D$29*M$2*(1+$H$55)^(M$1-$H$56-1))</f>
        <v>248.08358248658638</v>
      </c>
      <c r="N16" s="202">
        <f>IF(N$1&lt;=$H$56,0,'Opex Phenol'!$D$29*N$2*(1+$H$55)^(N$1-$H$56-1))</f>
        <v>259.24734369848272</v>
      </c>
      <c r="O16" s="202">
        <f>IF(O$1&lt;=$H$56,0,'Opex Phenol'!$D$29*O$2*(1+$H$55)^(O$1-$H$56-1))</f>
        <v>270.91347416491448</v>
      </c>
      <c r="P16" s="202">
        <f>IF(P$1&lt;=$H$56,0,'Opex Phenol'!$D$29*P$2*(1+$H$55)^(P$1-$H$56-1))</f>
        <v>283.10458050233552</v>
      </c>
      <c r="Q16" s="202">
        <f>IF(Q$1&lt;=$H$56,0,'Opex Phenol'!$D$29*Q$2*(1+$H$55)^(Q$1-$H$56-1))</f>
        <v>295.84428662494059</v>
      </c>
      <c r="R16" s="202">
        <f>IF(R$1&lt;=$H$56,0,'Opex Phenol'!$D$29*R$2*(1+$H$55)^(R$1-$H$56-1))</f>
        <v>309.15727952306287</v>
      </c>
      <c r="S16" s="202">
        <f>IF(S$1&lt;=$H$56,0,'Opex Phenol'!$D$29*S$2*(1+$H$55)^(S$1-$H$56-1))</f>
        <v>323.0693571016007</v>
      </c>
      <c r="T16" s="202">
        <f>IF(T$1&lt;=$H$56,0,'Opex Phenol'!$D$29*T$2*(1+$H$55)^(T$1-$H$56-1))</f>
        <v>337.60747817117266</v>
      </c>
      <c r="U16" s="202">
        <f>IF(U$1&lt;=$H$56,0,'Opex Phenol'!$D$29*U$2*(1+$H$55)^(U$1-$H$56-1))</f>
        <v>352.79981468887541</v>
      </c>
      <c r="V16" s="202">
        <f>IF(V$1&lt;=$H$56,0,'Opex Phenol'!$D$29*V$2*(1+$H$55)^(V$1-$H$56-1))</f>
        <v>368.67580634987473</v>
      </c>
      <c r="W16" s="202">
        <f>IF(W$1&lt;=$H$56,0,'Opex Phenol'!$D$29*W$2*(1+$H$55)^(W$1-$H$56-1))</f>
        <v>385.26621763561917</v>
      </c>
      <c r="X16" s="202">
        <f>IF(X$1&lt;=$H$56,0,'Opex Phenol'!$D$29*X$2*(1+$H$55)^(X$1-$H$56-1))</f>
        <v>402.60319742922184</v>
      </c>
      <c r="Y16" s="202">
        <f>IF(Y$1&lt;=$H$56,0,'Opex Phenol'!$D$29*Y$2*(1+$H$55)^(Y$1-$H$56-1))</f>
        <v>420.72034131353684</v>
      </c>
      <c r="Z16" s="202">
        <f>IF(Z$1&lt;=$H$56,0,'Opex Phenol'!$D$29*Z$2*(1+$H$55)^(Z$1-$H$56-1))</f>
        <v>439.65275667264592</v>
      </c>
      <c r="AA16" s="202">
        <f>IF(AA$1&lt;=$H$56,0,'Opex Phenol'!$D$29*AA$2*(1+$H$55)^(AA$1-$H$56-1))</f>
        <v>459.43713072291496</v>
      </c>
      <c r="AB16" s="202"/>
    </row>
    <row r="17" spans="1:27">
      <c r="A17" s="52"/>
      <c r="B17" s="17" t="s">
        <v>20</v>
      </c>
      <c r="C17" s="17"/>
      <c r="D17" s="17"/>
      <c r="E17" s="17"/>
      <c r="F17" s="17"/>
      <c r="G17" s="208">
        <f>J17/$J$19</f>
        <v>1.7168108286951884E-2</v>
      </c>
      <c r="H17" s="202">
        <f>IF(H$1&lt;=$H$56,0,'Opex Phenol'!$D$32*H$2*(1+$H$55)^(H$1-$H$56-1))</f>
        <v>27.484320937499998</v>
      </c>
      <c r="I17" s="202">
        <f>IF(I$1&lt;=$H$56,0,'Opex Phenol'!$D$32*I$2*(1+$H$55)^(I$1-$H$56-1))</f>
        <v>31.912350421874997</v>
      </c>
      <c r="J17" s="202">
        <f>IF(J$1&lt;=$H$56,0,'Opex Phenol'!$D$32*J$2*(1+$H$55)^(J$1-$H$56-1))</f>
        <v>33.348406190859365</v>
      </c>
      <c r="K17" s="202">
        <f>IF(K$1&lt;=$H$56,0,'Opex Phenol'!$D$32*K$2*(1+$H$55)^(K$1-$H$56-1))</f>
        <v>34.849084469448037</v>
      </c>
      <c r="L17" s="202">
        <f>IF(L$1&lt;=$H$56,0,'Opex Phenol'!$D$32*L$2*(1+$H$55)^(L$1-$H$56-1))</f>
        <v>36.41729327057319</v>
      </c>
      <c r="M17" s="202">
        <f>IF(M$1&lt;=$H$56,0,'Opex Phenol'!$D$32*M$2*(1+$H$55)^(M$1-$H$56-1))</f>
        <v>38.056071467748986</v>
      </c>
      <c r="N17" s="202">
        <f>IF(N$1&lt;=$H$56,0,'Opex Phenol'!$D$32*N$2*(1+$H$55)^(N$1-$H$56-1))</f>
        <v>39.76859468379768</v>
      </c>
      <c r="O17" s="202">
        <f>IF(O$1&lt;=$H$56,0,'Opex Phenol'!$D$32*O$2*(1+$H$55)^(O$1-$H$56-1))</f>
        <v>41.558181444568575</v>
      </c>
      <c r="P17" s="202">
        <f>IF(P$1&lt;=$H$56,0,'Opex Phenol'!$D$32*P$2*(1+$H$55)^(P$1-$H$56-1))</f>
        <v>43.428299609574154</v>
      </c>
      <c r="Q17" s="202">
        <f>IF(Q$1&lt;=$H$56,0,'Opex Phenol'!$D$32*Q$2*(1+$H$55)^(Q$1-$H$56-1))</f>
        <v>45.382573092004982</v>
      </c>
      <c r="R17" s="202">
        <f>IF(R$1&lt;=$H$56,0,'Opex Phenol'!$D$32*R$2*(1+$H$55)^(R$1-$H$56-1))</f>
        <v>47.424788881145197</v>
      </c>
      <c r="S17" s="202">
        <f>IF(S$1&lt;=$H$56,0,'Opex Phenol'!$D$32*S$2*(1+$H$55)^(S$1-$H$56-1))</f>
        <v>49.558904380796733</v>
      </c>
      <c r="T17" s="202">
        <f>IF(T$1&lt;=$H$56,0,'Opex Phenol'!$D$32*T$2*(1+$H$55)^(T$1-$H$56-1))</f>
        <v>51.789055077932574</v>
      </c>
      <c r="U17" s="202">
        <f>IF(U$1&lt;=$H$56,0,'Opex Phenol'!$D$32*U$2*(1+$H$55)^(U$1-$H$56-1))</f>
        <v>54.119562556439547</v>
      </c>
      <c r="V17" s="202">
        <f>IF(V$1&lt;=$H$56,0,'Opex Phenol'!$D$32*V$2*(1+$H$55)^(V$1-$H$56-1))</f>
        <v>56.554942871479312</v>
      </c>
      <c r="W17" s="202">
        <f>IF(W$1&lt;=$H$56,0,'Opex Phenol'!$D$32*W$2*(1+$H$55)^(W$1-$H$56-1))</f>
        <v>59.099915300695884</v>
      </c>
      <c r="X17" s="202">
        <f>IF(X$1&lt;=$H$56,0,'Opex Phenol'!$D$32*X$2*(1+$H$55)^(X$1-$H$56-1))</f>
        <v>61.759411489227176</v>
      </c>
      <c r="Y17" s="202">
        <f>IF(Y$1&lt;=$H$56,0,'Opex Phenol'!$D$32*Y$2*(1+$H$55)^(Y$1-$H$56-1))</f>
        <v>64.5385850062424</v>
      </c>
      <c r="Z17" s="202">
        <f>IF(Z$1&lt;=$H$56,0,'Opex Phenol'!$D$32*Z$2*(1+$H$55)^(Z$1-$H$56-1))</f>
        <v>67.442821331523291</v>
      </c>
      <c r="AA17" s="202">
        <f>IF(AA$1&lt;=$H$56,0,'Opex Phenol'!$D$32*AA$2*(1+$H$55)^(AA$1-$H$56-1))</f>
        <v>70.477748291441841</v>
      </c>
    </row>
    <row r="18" spans="1:27">
      <c r="A18" s="52"/>
      <c r="B18" s="17" t="s">
        <v>21</v>
      </c>
      <c r="C18" s="17"/>
      <c r="D18" s="17"/>
      <c r="E18" s="17"/>
      <c r="F18" s="17"/>
      <c r="G18" s="208">
        <f>J18/$J$19</f>
        <v>4.5809962417810768E-2</v>
      </c>
      <c r="H18" s="202">
        <f>IF(H$1&lt;=$H$56,0,'Opex Phenol'!$D$35*H$2*(1+$H$55)^(H$1-$H$56-1))</f>
        <v>73.336892346073597</v>
      </c>
      <c r="I18" s="202">
        <f>IF(I$1&lt;=$H$56,0,'Opex Phenol'!$D$35*I$2*(1+$H$55)^(I$1-$H$56-1))</f>
        <v>85.152280557385438</v>
      </c>
      <c r="J18" s="202">
        <f>IF(J$1&lt;=$H$56,0,'Opex Phenol'!$D$35*J$2*(1+$H$55)^(J$1-$H$56-1))</f>
        <v>88.984133182467787</v>
      </c>
      <c r="K18" s="202">
        <f>IF(K$1&lt;=$H$56,0,'Opex Phenol'!$D$35*K$2*(1+$H$55)^(K$1-$H$56-1))</f>
        <v>92.988419175678828</v>
      </c>
      <c r="L18" s="202">
        <f>IF(L$1&lt;=$H$56,0,'Opex Phenol'!$D$35*L$2*(1+$H$55)^(L$1-$H$56-1))</f>
        <v>97.17289803858435</v>
      </c>
      <c r="M18" s="202">
        <f>IF(M$1&lt;=$H$56,0,'Opex Phenol'!$D$35*M$2*(1+$H$55)^(M$1-$H$56-1))</f>
        <v>101.54567845032065</v>
      </c>
      <c r="N18" s="202">
        <f>IF(N$1&lt;=$H$56,0,'Opex Phenol'!$D$35*N$2*(1+$H$55)^(N$1-$H$56-1))</f>
        <v>106.11523398058505</v>
      </c>
      <c r="O18" s="202">
        <f>IF(O$1&lt;=$H$56,0,'Opex Phenol'!$D$35*O$2*(1+$H$55)^(O$1-$H$56-1))</f>
        <v>110.89041950971139</v>
      </c>
      <c r="P18" s="202">
        <f>IF(P$1&lt;=$H$56,0,'Opex Phenol'!$D$35*P$2*(1+$H$55)^(P$1-$H$56-1))</f>
        <v>115.88048838764837</v>
      </c>
      <c r="Q18" s="202">
        <f>IF(Q$1&lt;=$H$56,0,'Opex Phenol'!$D$35*Q$2*(1+$H$55)^(Q$1-$H$56-1))</f>
        <v>121.09511036509254</v>
      </c>
      <c r="R18" s="202">
        <f>IF(R$1&lt;=$H$56,0,'Opex Phenol'!$D$35*R$2*(1+$H$55)^(R$1-$H$56-1))</f>
        <v>126.54439033152167</v>
      </c>
      <c r="S18" s="202">
        <f>IF(S$1&lt;=$H$56,0,'Opex Phenol'!$D$35*S$2*(1+$H$55)^(S$1-$H$56-1))</f>
        <v>132.23888789644016</v>
      </c>
      <c r="T18" s="202">
        <f>IF(T$1&lt;=$H$56,0,'Opex Phenol'!$D$35*T$2*(1+$H$55)^(T$1-$H$56-1))</f>
        <v>138.18963785177993</v>
      </c>
      <c r="U18" s="202">
        <f>IF(U$1&lt;=$H$56,0,'Opex Phenol'!$D$35*U$2*(1+$H$55)^(U$1-$H$56-1))</f>
        <v>144.40817155511004</v>
      </c>
      <c r="V18" s="202">
        <f>IF(V$1&lt;=$H$56,0,'Opex Phenol'!$D$35*V$2*(1+$H$55)^(V$1-$H$56-1))</f>
        <v>150.90653927508995</v>
      </c>
      <c r="W18" s="202">
        <f>IF(W$1&lt;=$H$56,0,'Opex Phenol'!$D$35*W$2*(1+$H$55)^(W$1-$H$56-1))</f>
        <v>157.69733354246901</v>
      </c>
      <c r="X18" s="202">
        <f>IF(X$1&lt;=$H$56,0,'Opex Phenol'!$D$35*X$2*(1+$H$55)^(X$1-$H$56-1))</f>
        <v>164.79371355188005</v>
      </c>
      <c r="Y18" s="202">
        <f>IF(Y$1&lt;=$H$56,0,'Opex Phenol'!$D$35*Y$2*(1+$H$55)^(Y$1-$H$56-1))</f>
        <v>172.20943066171466</v>
      </c>
      <c r="Z18" s="202">
        <f>IF(Z$1&lt;=$H$56,0,'Opex Phenol'!$D$35*Z$2*(1+$H$55)^(Z$1-$H$56-1))</f>
        <v>179.95885504149177</v>
      </c>
      <c r="AA18" s="202">
        <f>IF(AA$1&lt;=$H$56,0,'Opex Phenol'!$D$35*AA$2*(1+$H$55)^(AA$1-$H$56-1))</f>
        <v>188.0570035183589</v>
      </c>
    </row>
    <row r="19" spans="1:27" s="167" customFormat="1">
      <c r="A19" s="187"/>
      <c r="B19" s="209" t="s">
        <v>30</v>
      </c>
      <c r="C19" s="209"/>
      <c r="D19" s="209"/>
      <c r="E19" s="209"/>
      <c r="F19" s="209"/>
      <c r="G19" s="210"/>
      <c r="H19" s="192">
        <f t="shared" ref="H19:Q19" si="1">SUM(H14:H18)</f>
        <v>1573.0158312353542</v>
      </c>
      <c r="I19" s="192">
        <f t="shared" si="1"/>
        <v>1840.9628423174713</v>
      </c>
      <c r="J19" s="192">
        <f t="shared" si="1"/>
        <v>1942.4624794686808</v>
      </c>
      <c r="K19" s="192">
        <f t="shared" si="1"/>
        <v>2049.6030843257636</v>
      </c>
      <c r="L19" s="192">
        <f t="shared" si="1"/>
        <v>2162.7002687068025</v>
      </c>
      <c r="M19" s="192">
        <f t="shared" si="1"/>
        <v>2282.0874011080291</v>
      </c>
      <c r="N19" s="192">
        <f t="shared" si="1"/>
        <v>2408.1166102599145</v>
      </c>
      <c r="O19" s="192">
        <f t="shared" si="1"/>
        <v>2541.1598456105457</v>
      </c>
      <c r="P19" s="192">
        <f t="shared" si="1"/>
        <v>2681.6099979750834</v>
      </c>
      <c r="Q19" s="192">
        <f t="shared" si="1"/>
        <v>2829.8820837748426</v>
      </c>
      <c r="R19" s="552">
        <f t="shared" ref="R19:AA19" si="2">SUM(R14:R18)</f>
        <v>2986.4144964847515</v>
      </c>
      <c r="S19" s="192">
        <f t="shared" si="2"/>
        <v>3151.6703291144181</v>
      </c>
      <c r="T19" s="192">
        <f t="shared" si="2"/>
        <v>3326.1387717661801</v>
      </c>
      <c r="U19" s="192">
        <f t="shared" si="2"/>
        <v>3510.3365885442795</v>
      </c>
      <c r="V19" s="192">
        <f t="shared" si="2"/>
        <v>3704.8096783330702</v>
      </c>
      <c r="W19" s="192">
        <f t="shared" si="2"/>
        <v>3910.1347242200873</v>
      </c>
      <c r="X19" s="192">
        <f t="shared" si="2"/>
        <v>4126.9209366122486</v>
      </c>
      <c r="Y19" s="192">
        <f t="shared" si="2"/>
        <v>4355.8118953816811</v>
      </c>
      <c r="Z19" s="192">
        <f t="shared" si="2"/>
        <v>4597.4874966821608</v>
      </c>
      <c r="AA19" s="233">
        <f t="shared" si="2"/>
        <v>4852.666010399279</v>
      </c>
    </row>
    <row r="20" spans="1:27">
      <c r="A20" s="52"/>
      <c r="B20" s="17"/>
      <c r="C20" s="17"/>
      <c r="D20" s="17"/>
      <c r="E20" s="17"/>
      <c r="F20" s="17"/>
      <c r="G20" s="201"/>
      <c r="H20" s="199"/>
      <c r="I20" s="199"/>
      <c r="J20" s="199"/>
      <c r="K20" s="199"/>
      <c r="L20" s="199"/>
      <c r="M20" s="199"/>
      <c r="N20" s="199"/>
      <c r="O20" s="199"/>
      <c r="P20" s="199"/>
      <c r="Q20" s="199"/>
      <c r="R20" s="553"/>
      <c r="AA20" s="33"/>
    </row>
    <row r="21" spans="1:27" s="167" customFormat="1">
      <c r="A21" s="203">
        <v>6</v>
      </c>
      <c r="B21" s="204" t="s">
        <v>392</v>
      </c>
      <c r="C21" s="204"/>
      <c r="D21" s="204"/>
      <c r="E21" s="204"/>
      <c r="F21" s="204"/>
      <c r="G21" s="205"/>
      <c r="H21" s="206">
        <f t="shared" ref="H21:AA21" si="3">H10-H19</f>
        <v>462.26709927402089</v>
      </c>
      <c r="I21" s="206">
        <f t="shared" si="3"/>
        <v>552.195160423571</v>
      </c>
      <c r="J21" s="206">
        <f t="shared" si="3"/>
        <v>590.10226497101871</v>
      </c>
      <c r="K21" s="206">
        <f t="shared" si="3"/>
        <v>630.48971977442807</v>
      </c>
      <c r="L21" s="206">
        <f t="shared" si="3"/>
        <v>673.5150636004355</v>
      </c>
      <c r="M21" s="206">
        <f t="shared" si="3"/>
        <v>719.34564634144999</v>
      </c>
      <c r="N21" s="206">
        <f t="shared" si="3"/>
        <v>768.15923178920275</v>
      </c>
      <c r="O21" s="206">
        <f t="shared" si="3"/>
        <v>820.1446370855133</v>
      </c>
      <c r="P21" s="206">
        <f t="shared" si="3"/>
        <v>875.50241106636258</v>
      </c>
      <c r="Q21" s="206">
        <f t="shared" si="3"/>
        <v>934.44555384859632</v>
      </c>
      <c r="R21" s="554">
        <f t="shared" si="3"/>
        <v>997.20028014973332</v>
      </c>
      <c r="S21" s="206">
        <f t="shared" si="3"/>
        <v>1064.0068289809992</v>
      </c>
      <c r="T21" s="206">
        <f t="shared" si="3"/>
        <v>1135.1203225123272</v>
      </c>
      <c r="U21" s="206">
        <f t="shared" si="3"/>
        <v>1210.8116770760748</v>
      </c>
      <c r="V21" s="206">
        <f t="shared" si="3"/>
        <v>1291.3685694544365</v>
      </c>
      <c r="W21" s="206">
        <f t="shared" si="3"/>
        <v>1377.096461784261</v>
      </c>
      <c r="X21" s="206">
        <f t="shared" si="3"/>
        <v>1468.3196886130809</v>
      </c>
      <c r="Y21" s="206">
        <f t="shared" si="3"/>
        <v>1565.382609852265</v>
      </c>
      <c r="Z21" s="206">
        <f t="shared" si="3"/>
        <v>1668.6508335978615</v>
      </c>
      <c r="AA21" s="555">
        <f t="shared" si="3"/>
        <v>1778.5125130279675</v>
      </c>
    </row>
    <row r="22" spans="1:27">
      <c r="A22" s="52"/>
      <c r="B22" s="17" t="s">
        <v>388</v>
      </c>
      <c r="C22" s="17"/>
      <c r="D22" s="17"/>
      <c r="E22" s="17"/>
      <c r="F22" s="17"/>
      <c r="G22" s="201"/>
      <c r="H22" s="262">
        <f>H21/H10</f>
        <v>0.22712670181846817</v>
      </c>
      <c r="I22" s="262">
        <f t="shared" ref="I22:AA22" si="4">I21/I10</f>
        <v>0.23073911534094502</v>
      </c>
      <c r="J22" s="262">
        <f t="shared" si="4"/>
        <v>0.23300579630455684</v>
      </c>
      <c r="K22" s="262">
        <f t="shared" si="4"/>
        <v>0.23524921182201647</v>
      </c>
      <c r="L22" s="262">
        <f t="shared" si="4"/>
        <v>0.23746965046287105</v>
      </c>
      <c r="M22" s="262">
        <f t="shared" si="4"/>
        <v>0.23966739719639146</v>
      </c>
      <c r="N22" s="262">
        <f t="shared" si="4"/>
        <v>0.24184273343641294</v>
      </c>
      <c r="O22" s="262">
        <f t="shared" si="4"/>
        <v>0.24399593708561798</v>
      </c>
      <c r="P22" s="262">
        <f t="shared" si="4"/>
        <v>0.24612728257926741</v>
      </c>
      <c r="Q22" s="262">
        <f t="shared" si="4"/>
        <v>0.24823704092838922</v>
      </c>
      <c r="R22" s="262">
        <f t="shared" si="4"/>
        <v>0.25032547976243014</v>
      </c>
      <c r="S22" s="262">
        <f t="shared" si="4"/>
        <v>0.25239286337137407</v>
      </c>
      <c r="T22" s="262">
        <f t="shared" si="4"/>
        <v>0.25443945274734225</v>
      </c>
      <c r="U22" s="262">
        <f t="shared" si="4"/>
        <v>0.25646550562566911</v>
      </c>
      <c r="V22" s="262">
        <f t="shared" si="4"/>
        <v>0.25847127652547275</v>
      </c>
      <c r="W22" s="262">
        <f t="shared" si="4"/>
        <v>0.26045701678971911</v>
      </c>
      <c r="X22" s="262">
        <f t="shared" si="4"/>
        <v>0.26242297462478642</v>
      </c>
      <c r="Y22" s="262">
        <f t="shared" si="4"/>
        <v>0.26436939513953983</v>
      </c>
      <c r="Z22" s="262">
        <f t="shared" si="4"/>
        <v>0.2662965203839176</v>
      </c>
      <c r="AA22" s="262">
        <f t="shared" si="4"/>
        <v>0.26820458938704073</v>
      </c>
    </row>
    <row r="23" spans="1:27">
      <c r="A23" s="52"/>
      <c r="B23" s="17"/>
      <c r="C23" s="17"/>
      <c r="D23" s="17"/>
      <c r="E23" s="17"/>
      <c r="F23" s="17"/>
      <c r="G23" s="201"/>
      <c r="H23" s="199"/>
      <c r="I23" s="199"/>
      <c r="J23" s="199"/>
      <c r="K23" s="199"/>
      <c r="L23" s="199"/>
      <c r="M23" s="199"/>
      <c r="N23" s="199"/>
      <c r="O23" s="199"/>
      <c r="P23" s="199"/>
      <c r="Q23" s="199"/>
      <c r="R23" s="556"/>
      <c r="S23" s="199"/>
      <c r="T23" s="199"/>
      <c r="U23" s="199"/>
      <c r="V23" s="199"/>
      <c r="W23" s="199"/>
      <c r="X23" s="199"/>
      <c r="Y23" s="199"/>
      <c r="Z23" s="199"/>
      <c r="AA23" s="557"/>
    </row>
    <row r="24" spans="1:27" s="167" customFormat="1">
      <c r="A24" s="194"/>
      <c r="B24" s="195" t="s">
        <v>32</v>
      </c>
      <c r="C24" s="182">
        <f>+C7</f>
        <v>-88.43</v>
      </c>
      <c r="D24" s="182">
        <f>+D7</f>
        <v>-442.17</v>
      </c>
      <c r="E24" s="182">
        <f>+E7</f>
        <v>-619.04</v>
      </c>
      <c r="F24" s="182">
        <f>+F7</f>
        <v>-619.04</v>
      </c>
      <c r="G24" s="196"/>
      <c r="H24" s="197">
        <f>H21+SUM(C24:F24)</f>
        <v>-1306.4129007259789</v>
      </c>
      <c r="I24" s="197">
        <f t="shared" ref="I24:AA24" si="5">I21</f>
        <v>552.195160423571</v>
      </c>
      <c r="J24" s="197">
        <f t="shared" si="5"/>
        <v>590.10226497101871</v>
      </c>
      <c r="K24" s="197">
        <f t="shared" si="5"/>
        <v>630.48971977442807</v>
      </c>
      <c r="L24" s="197">
        <f t="shared" si="5"/>
        <v>673.5150636004355</v>
      </c>
      <c r="M24" s="197">
        <f t="shared" si="5"/>
        <v>719.34564634144999</v>
      </c>
      <c r="N24" s="197">
        <f t="shared" si="5"/>
        <v>768.15923178920275</v>
      </c>
      <c r="O24" s="197">
        <f t="shared" si="5"/>
        <v>820.1446370855133</v>
      </c>
      <c r="P24" s="197">
        <f t="shared" si="5"/>
        <v>875.50241106636258</v>
      </c>
      <c r="Q24" s="197">
        <f t="shared" si="5"/>
        <v>934.44555384859632</v>
      </c>
      <c r="R24" s="550">
        <f t="shared" si="5"/>
        <v>997.20028014973332</v>
      </c>
      <c r="S24" s="197">
        <f t="shared" si="5"/>
        <v>1064.0068289809992</v>
      </c>
      <c r="T24" s="197">
        <f t="shared" si="5"/>
        <v>1135.1203225123272</v>
      </c>
      <c r="U24" s="197">
        <f t="shared" si="5"/>
        <v>1210.8116770760748</v>
      </c>
      <c r="V24" s="197">
        <f t="shared" si="5"/>
        <v>1291.3685694544365</v>
      </c>
      <c r="W24" s="197">
        <f t="shared" si="5"/>
        <v>1377.096461784261</v>
      </c>
      <c r="X24" s="197">
        <f t="shared" si="5"/>
        <v>1468.3196886130809</v>
      </c>
      <c r="Y24" s="197">
        <f t="shared" si="5"/>
        <v>1565.382609852265</v>
      </c>
      <c r="Z24" s="197">
        <f t="shared" si="5"/>
        <v>1668.6508335978615</v>
      </c>
      <c r="AA24" s="551">
        <f t="shared" si="5"/>
        <v>1778.5125130279675</v>
      </c>
    </row>
    <row r="25" spans="1:27">
      <c r="A25" s="52"/>
      <c r="B25" s="17"/>
      <c r="C25" s="17"/>
      <c r="D25" s="17"/>
      <c r="E25" s="17"/>
      <c r="F25" s="17"/>
      <c r="G25" s="201"/>
      <c r="H25" s="199"/>
      <c r="I25" s="199"/>
      <c r="J25" s="199"/>
      <c r="K25" s="199"/>
      <c r="L25" s="199"/>
      <c r="M25" s="199"/>
      <c r="N25" s="199"/>
      <c r="O25" s="199"/>
      <c r="P25" s="199"/>
      <c r="Q25" s="199"/>
      <c r="R25" s="556"/>
      <c r="S25" s="199"/>
      <c r="T25" s="199"/>
      <c r="U25" s="199"/>
      <c r="V25" s="199"/>
      <c r="W25" s="199"/>
      <c r="X25" s="199"/>
      <c r="Y25" s="199"/>
      <c r="Z25" s="199"/>
      <c r="AA25" s="557"/>
    </row>
    <row r="26" spans="1:27">
      <c r="A26" s="52"/>
      <c r="B26" s="17" t="s">
        <v>33</v>
      </c>
      <c r="C26" s="17"/>
      <c r="D26" s="17"/>
      <c r="E26" s="17"/>
      <c r="F26" s="17"/>
      <c r="G26" s="201">
        <v>1</v>
      </c>
      <c r="H26" s="199">
        <f>G26/(1+0.1)</f>
        <v>0.90909090909090906</v>
      </c>
      <c r="I26" s="199">
        <f>H26/(1+0.1)</f>
        <v>0.82644628099173545</v>
      </c>
      <c r="J26" s="199">
        <f t="shared" ref="J26:AA26" si="6">I26/(1+0.1)</f>
        <v>0.75131480090157765</v>
      </c>
      <c r="K26" s="199">
        <f t="shared" si="6"/>
        <v>0.68301345536507052</v>
      </c>
      <c r="L26" s="199">
        <f t="shared" si="6"/>
        <v>0.62092132305915493</v>
      </c>
      <c r="M26" s="199">
        <f t="shared" si="6"/>
        <v>0.56447393005377711</v>
      </c>
      <c r="N26" s="199">
        <f t="shared" si="6"/>
        <v>0.51315811823070645</v>
      </c>
      <c r="O26" s="199">
        <f t="shared" si="6"/>
        <v>0.46650738020973309</v>
      </c>
      <c r="P26" s="199">
        <f t="shared" si="6"/>
        <v>0.42409761837248461</v>
      </c>
      <c r="Q26" s="199">
        <f t="shared" si="6"/>
        <v>0.38554328942953142</v>
      </c>
      <c r="R26" s="556">
        <f t="shared" si="6"/>
        <v>0.35049389948139215</v>
      </c>
      <c r="S26" s="199">
        <f t="shared" si="6"/>
        <v>0.31863081771035645</v>
      </c>
      <c r="T26" s="199">
        <f t="shared" si="6"/>
        <v>0.28966437973668768</v>
      </c>
      <c r="U26" s="199">
        <f t="shared" si="6"/>
        <v>0.26333125430607968</v>
      </c>
      <c r="V26" s="199">
        <f t="shared" si="6"/>
        <v>0.23939204936916333</v>
      </c>
      <c r="W26" s="199">
        <f t="shared" si="6"/>
        <v>0.21762913579014848</v>
      </c>
      <c r="X26" s="199">
        <f t="shared" si="6"/>
        <v>0.19784466890013497</v>
      </c>
      <c r="Y26" s="199">
        <f t="shared" si="6"/>
        <v>0.17985878990921358</v>
      </c>
      <c r="Z26" s="199">
        <f t="shared" si="6"/>
        <v>0.16350799082655779</v>
      </c>
      <c r="AA26" s="557">
        <f t="shared" si="6"/>
        <v>0.14864362802414344</v>
      </c>
    </row>
    <row r="27" spans="1:27">
      <c r="A27" s="52"/>
      <c r="B27" s="17" t="s">
        <v>34</v>
      </c>
      <c r="C27" s="558"/>
      <c r="D27" s="558"/>
      <c r="E27" s="558"/>
      <c r="F27" s="558"/>
      <c r="G27" s="211"/>
      <c r="H27" s="202">
        <f>H24*H26</f>
        <v>-1187.6480915690718</v>
      </c>
      <c r="I27" s="202">
        <f t="shared" ref="I27:AA27" si="7">I24*I26</f>
        <v>456.35963671369501</v>
      </c>
      <c r="J27" s="202">
        <f t="shared" si="7"/>
        <v>443.35256571827097</v>
      </c>
      <c r="K27" s="202">
        <f t="shared" si="7"/>
        <v>430.63296207528714</v>
      </c>
      <c r="L27" s="202">
        <f t="shared" si="7"/>
        <v>418.19986439105327</v>
      </c>
      <c r="M27" s="202">
        <f t="shared" si="7"/>
        <v>406.05186405743274</v>
      </c>
      <c r="N27" s="202">
        <f t="shared" si="7"/>
        <v>394.18714588649232</v>
      </c>
      <c r="O27" s="202">
        <f t="shared" si="7"/>
        <v>382.60352603982511</v>
      </c>
      <c r="P27" s="202">
        <f t="shared" si="7"/>
        <v>371.29848741261236</v>
      </c>
      <c r="Q27" s="202">
        <f t="shared" si="7"/>
        <v>360.26921262358815</v>
      </c>
      <c r="R27" s="559">
        <f t="shared" si="7"/>
        <v>349.51261475361673</v>
      </c>
      <c r="S27" s="202">
        <f t="shared" si="7"/>
        <v>339.02536596761917</v>
      </c>
      <c r="T27" s="202">
        <f t="shared" si="7"/>
        <v>328.80392414704215</v>
      </c>
      <c r="U27" s="202">
        <f t="shared" si="7"/>
        <v>318.84455765289067</v>
      </c>
      <c r="V27" s="202">
        <f t="shared" si="7"/>
        <v>309.14336833262229</v>
      </c>
      <c r="W27" s="202">
        <f t="shared" si="7"/>
        <v>299.69631287777997</v>
      </c>
      <c r="X27" s="202">
        <f t="shared" si="7"/>
        <v>290.49922263320428</v>
      </c>
      <c r="Y27" s="202">
        <f t="shared" si="7"/>
        <v>281.54782195295496</v>
      </c>
      <c r="Z27" s="202">
        <f t="shared" si="7"/>
        <v>272.83774519264716</v>
      </c>
      <c r="AA27" s="560">
        <f t="shared" si="7"/>
        <v>264.36455242281374</v>
      </c>
    </row>
    <row r="28" spans="1:27">
      <c r="A28" s="52"/>
      <c r="B28" s="17" t="s">
        <v>35</v>
      </c>
      <c r="C28" s="17"/>
      <c r="D28" s="17"/>
      <c r="E28" s="17"/>
      <c r="F28" s="17"/>
      <c r="G28" s="211"/>
      <c r="H28" s="202">
        <f>H24</f>
        <v>-1306.4129007259789</v>
      </c>
      <c r="I28" s="202">
        <f t="shared" ref="I28:AA28" si="8">I24</f>
        <v>552.195160423571</v>
      </c>
      <c r="J28" s="202">
        <f t="shared" si="8"/>
        <v>590.10226497101871</v>
      </c>
      <c r="K28" s="202">
        <f>K24</f>
        <v>630.48971977442807</v>
      </c>
      <c r="L28" s="202">
        <f t="shared" si="8"/>
        <v>673.5150636004355</v>
      </c>
      <c r="M28" s="202">
        <f t="shared" si="8"/>
        <v>719.34564634144999</v>
      </c>
      <c r="N28" s="202">
        <f t="shared" si="8"/>
        <v>768.15923178920275</v>
      </c>
      <c r="O28" s="202">
        <f t="shared" si="8"/>
        <v>820.1446370855133</v>
      </c>
      <c r="P28" s="202">
        <f t="shared" si="8"/>
        <v>875.50241106636258</v>
      </c>
      <c r="Q28" s="202">
        <f t="shared" si="8"/>
        <v>934.44555384859632</v>
      </c>
      <c r="R28" s="559">
        <f t="shared" si="8"/>
        <v>997.20028014973332</v>
      </c>
      <c r="S28" s="202">
        <f t="shared" si="8"/>
        <v>1064.0068289809992</v>
      </c>
      <c r="T28" s="202">
        <f t="shared" si="8"/>
        <v>1135.1203225123272</v>
      </c>
      <c r="U28" s="202">
        <f t="shared" si="8"/>
        <v>1210.8116770760748</v>
      </c>
      <c r="V28" s="202">
        <f t="shared" si="8"/>
        <v>1291.3685694544365</v>
      </c>
      <c r="W28" s="202">
        <f t="shared" si="8"/>
        <v>1377.096461784261</v>
      </c>
      <c r="X28" s="202">
        <f t="shared" si="8"/>
        <v>1468.3196886130809</v>
      </c>
      <c r="Y28" s="202">
        <f t="shared" si="8"/>
        <v>1565.382609852265</v>
      </c>
      <c r="Z28" s="202">
        <f t="shared" si="8"/>
        <v>1668.6508335978615</v>
      </c>
      <c r="AA28" s="560">
        <f t="shared" si="8"/>
        <v>1778.5125130279675</v>
      </c>
    </row>
    <row r="29" spans="1:27">
      <c r="A29" s="53"/>
      <c r="B29" s="55" t="s">
        <v>443</v>
      </c>
      <c r="C29" s="55"/>
      <c r="D29" s="55"/>
      <c r="E29" s="55"/>
      <c r="F29" s="55"/>
      <c r="G29" s="212"/>
      <c r="H29" s="213">
        <f>G28+H24</f>
        <v>-1306.4129007259789</v>
      </c>
      <c r="I29" s="213">
        <f>H29+I24</f>
        <v>-754.21774030240795</v>
      </c>
      <c r="J29" s="213">
        <f t="shared" ref="J29:AA29" si="9">I29+J24</f>
        <v>-164.11547533138923</v>
      </c>
      <c r="K29" s="213">
        <f>J29+K24</f>
        <v>466.37424444303883</v>
      </c>
      <c r="L29" s="213">
        <f t="shared" si="9"/>
        <v>1139.8893080434743</v>
      </c>
      <c r="M29" s="213">
        <f t="shared" si="9"/>
        <v>1859.2349543849243</v>
      </c>
      <c r="N29" s="213">
        <f t="shared" si="9"/>
        <v>2627.3941861741268</v>
      </c>
      <c r="O29" s="213">
        <f t="shared" si="9"/>
        <v>3447.5388232596401</v>
      </c>
      <c r="P29" s="213">
        <f t="shared" si="9"/>
        <v>4323.0412343260032</v>
      </c>
      <c r="Q29" s="213">
        <f t="shared" si="9"/>
        <v>5257.4867881745995</v>
      </c>
      <c r="R29" s="561">
        <f t="shared" si="9"/>
        <v>6254.6870683243324</v>
      </c>
      <c r="S29" s="213">
        <f t="shared" si="9"/>
        <v>7318.6938973053311</v>
      </c>
      <c r="T29" s="213">
        <f t="shared" si="9"/>
        <v>8453.8142198176574</v>
      </c>
      <c r="U29" s="213">
        <f t="shared" si="9"/>
        <v>9664.6258968937327</v>
      </c>
      <c r="V29" s="213">
        <f t="shared" si="9"/>
        <v>10955.994466348169</v>
      </c>
      <c r="W29" s="213">
        <f t="shared" si="9"/>
        <v>12333.090928132431</v>
      </c>
      <c r="X29" s="213">
        <f t="shared" si="9"/>
        <v>13801.410616745512</v>
      </c>
      <c r="Y29" s="213">
        <f t="shared" si="9"/>
        <v>15366.793226597776</v>
      </c>
      <c r="Z29" s="213">
        <f t="shared" si="9"/>
        <v>17035.444060195638</v>
      </c>
      <c r="AA29" s="562">
        <f t="shared" si="9"/>
        <v>18813.956573223604</v>
      </c>
    </row>
    <row r="30" spans="1:27">
      <c r="A30" s="52"/>
      <c r="B30" s="17"/>
      <c r="C30" s="17"/>
      <c r="D30" s="17"/>
      <c r="E30" s="17"/>
      <c r="F30" s="17"/>
      <c r="G30" s="201"/>
      <c r="H30" s="202"/>
      <c r="I30" s="202"/>
      <c r="J30" s="202"/>
      <c r="K30" s="202"/>
      <c r="L30" s="202"/>
      <c r="M30" s="202"/>
      <c r="N30" s="202"/>
      <c r="O30" s="202"/>
      <c r="P30" s="202"/>
      <c r="Q30" s="202"/>
      <c r="R30" s="559"/>
      <c r="S30" s="202"/>
      <c r="T30" s="202"/>
      <c r="U30" s="202"/>
      <c r="V30" s="202"/>
      <c r="W30" s="202"/>
      <c r="X30" s="202"/>
      <c r="Y30" s="202"/>
      <c r="Z30" s="202"/>
      <c r="AA30" s="560"/>
    </row>
    <row r="31" spans="1:27">
      <c r="A31" s="52"/>
      <c r="B31" s="17"/>
      <c r="C31" s="17"/>
      <c r="D31" s="17"/>
      <c r="E31" s="17"/>
      <c r="F31" s="17"/>
      <c r="G31" s="201"/>
      <c r="H31" s="202"/>
      <c r="I31" s="202"/>
      <c r="J31" s="202"/>
      <c r="K31" s="202"/>
      <c r="L31" s="202"/>
      <c r="M31" s="202"/>
      <c r="N31" s="202"/>
      <c r="O31" s="202"/>
      <c r="P31" s="202"/>
      <c r="Q31" s="202"/>
      <c r="R31" s="559"/>
      <c r="S31" s="202"/>
      <c r="T31" s="202"/>
      <c r="U31" s="202"/>
      <c r="V31" s="202"/>
      <c r="W31" s="202"/>
      <c r="X31" s="202"/>
      <c r="Y31" s="202"/>
      <c r="Z31" s="202"/>
      <c r="AA31" s="560"/>
    </row>
    <row r="32" spans="1:27">
      <c r="A32" s="52"/>
      <c r="B32" s="563" t="s">
        <v>464</v>
      </c>
      <c r="C32" s="564"/>
      <c r="D32" s="564"/>
      <c r="E32" s="564"/>
      <c r="F32" s="564"/>
      <c r="G32" s="565">
        <f>NPV(0%,(H27:AA27))+G27</f>
        <v>5529.5826592823769</v>
      </c>
      <c r="H32" s="566"/>
      <c r="I32" s="199"/>
      <c r="J32" s="199"/>
      <c r="K32" s="199"/>
      <c r="L32" s="199"/>
      <c r="M32" s="199"/>
      <c r="N32" s="199"/>
      <c r="O32" s="199"/>
      <c r="P32" s="199"/>
      <c r="Q32" s="199"/>
      <c r="R32" s="556"/>
      <c r="S32" s="199"/>
      <c r="T32" s="199"/>
      <c r="U32" s="199"/>
      <c r="V32" s="199"/>
      <c r="W32" s="199"/>
      <c r="X32" s="199"/>
      <c r="Y32" s="199"/>
      <c r="Z32" s="199"/>
      <c r="AA32" s="557"/>
    </row>
    <row r="33" spans="1:27">
      <c r="A33" s="52"/>
      <c r="B33" s="567" t="s">
        <v>37</v>
      </c>
      <c r="C33" s="545"/>
      <c r="D33" s="545"/>
      <c r="E33" s="545"/>
      <c r="F33" s="545"/>
      <c r="G33" s="568">
        <f>IRR(C24:AA24,0.1)</f>
        <v>0.19367553972956575</v>
      </c>
      <c r="H33" s="557"/>
      <c r="I33" s="199"/>
      <c r="J33" s="199"/>
      <c r="K33" s="199"/>
      <c r="L33" s="199"/>
      <c r="M33" s="199"/>
      <c r="N33" s="199"/>
      <c r="O33" s="199"/>
      <c r="P33" s="199"/>
      <c r="Q33" s="199"/>
      <c r="R33" s="556"/>
      <c r="S33" s="199"/>
      <c r="T33" s="199"/>
      <c r="U33" s="199"/>
      <c r="V33" s="199"/>
      <c r="W33" s="199"/>
      <c r="X33" s="199"/>
      <c r="Y33" s="199"/>
      <c r="Z33" s="199"/>
      <c r="AA33" s="557"/>
    </row>
    <row r="34" spans="1:27">
      <c r="A34" s="52"/>
      <c r="B34" s="569" t="s">
        <v>465</v>
      </c>
      <c r="C34" s="570"/>
      <c r="D34" s="570"/>
      <c r="E34" s="570"/>
      <c r="F34" s="570"/>
      <c r="G34" s="571">
        <f>IF(SUM(H39:AA39)&lt;=25,SUM(H39:AA39)," N/A ")</f>
        <v>3.2602984159521351</v>
      </c>
      <c r="H34" s="572"/>
      <c r="I34" s="199"/>
      <c r="J34" s="199"/>
      <c r="K34" s="199"/>
      <c r="L34" s="199"/>
      <c r="M34" s="199"/>
      <c r="N34" s="199"/>
      <c r="O34" s="199"/>
      <c r="P34" s="199"/>
      <c r="Q34" s="199"/>
      <c r="R34" s="556"/>
      <c r="S34" s="199"/>
      <c r="T34" s="199"/>
      <c r="U34" s="199"/>
      <c r="V34" s="199"/>
      <c r="W34" s="199"/>
      <c r="X34" s="199"/>
      <c r="Y34" s="199"/>
      <c r="Z34" s="199"/>
      <c r="AA34" s="557"/>
    </row>
    <row r="35" spans="1:27">
      <c r="A35" s="52"/>
      <c r="B35" s="573" t="s">
        <v>466</v>
      </c>
      <c r="C35" s="574"/>
      <c r="D35" s="574"/>
      <c r="E35" s="574"/>
      <c r="F35" s="574"/>
      <c r="G35" s="571">
        <f>IF(SUM(H40:AA40)&lt;=25,SUM(H40:AA40)," N/A ")</f>
        <v>3.3811029107955211</v>
      </c>
      <c r="H35" s="575"/>
      <c r="I35" s="199"/>
      <c r="J35" s="199"/>
      <c r="K35" s="199"/>
      <c r="L35" s="199"/>
      <c r="M35" s="199"/>
      <c r="N35" s="199"/>
      <c r="O35" s="199"/>
      <c r="P35" s="199"/>
      <c r="Q35" s="199"/>
      <c r="R35" s="556"/>
      <c r="S35" s="199"/>
      <c r="T35" s="199"/>
      <c r="U35" s="199"/>
      <c r="V35" s="199"/>
      <c r="W35" s="199"/>
      <c r="X35" s="199"/>
      <c r="Y35" s="199"/>
      <c r="Z35" s="199"/>
      <c r="AA35" s="557"/>
    </row>
    <row r="36" spans="1:27">
      <c r="A36" s="2"/>
      <c r="G36" s="32"/>
      <c r="H36" s="223">
        <v>1</v>
      </c>
      <c r="I36" s="223">
        <v>2</v>
      </c>
      <c r="J36" s="223">
        <v>3</v>
      </c>
      <c r="K36" s="223">
        <v>4</v>
      </c>
      <c r="L36" s="223">
        <v>5</v>
      </c>
      <c r="M36" s="223">
        <v>6</v>
      </c>
      <c r="N36" s="223">
        <v>7</v>
      </c>
      <c r="O36" s="223">
        <v>8</v>
      </c>
      <c r="P36" s="223">
        <v>9</v>
      </c>
      <c r="Q36" s="223">
        <v>10</v>
      </c>
      <c r="R36" s="576">
        <v>11</v>
      </c>
      <c r="S36" s="223">
        <v>12</v>
      </c>
      <c r="T36" s="223">
        <v>13</v>
      </c>
      <c r="U36" s="223">
        <v>14</v>
      </c>
      <c r="V36" s="223">
        <v>15</v>
      </c>
      <c r="W36" s="223">
        <v>16</v>
      </c>
      <c r="X36" s="223">
        <v>17</v>
      </c>
      <c r="Y36" s="223">
        <v>18</v>
      </c>
      <c r="Z36" s="223">
        <v>19</v>
      </c>
      <c r="AA36" s="306">
        <v>20</v>
      </c>
    </row>
    <row r="37" spans="1:27">
      <c r="A37" s="224"/>
      <c r="B37" s="577" t="s">
        <v>398</v>
      </c>
      <c r="C37" s="225"/>
      <c r="D37" s="225"/>
      <c r="E37" s="225"/>
      <c r="F37" s="225"/>
      <c r="G37" s="578"/>
      <c r="H37" s="579">
        <f t="shared" ref="H37:AA37" si="10">IF(H29&lt;0,1,IF(H28=0,0,-G29/H28))</f>
        <v>1</v>
      </c>
      <c r="I37" s="579">
        <f t="shared" si="10"/>
        <v>1</v>
      </c>
      <c r="J37" s="579">
        <f t="shared" si="10"/>
        <v>1</v>
      </c>
      <c r="K37" s="579">
        <f t="shared" si="10"/>
        <v>0.26029841595213521</v>
      </c>
      <c r="L37" s="579">
        <f t="shared" si="10"/>
        <v>-0.69244812721771065</v>
      </c>
      <c r="M37" s="579">
        <f t="shared" si="10"/>
        <v>-1.584619735784716</v>
      </c>
      <c r="N37" s="579">
        <f t="shared" si="10"/>
        <v>-2.4203770226836681</v>
      </c>
      <c r="O37" s="579">
        <f t="shared" si="10"/>
        <v>-3.2035741835865696</v>
      </c>
      <c r="P37" s="579">
        <f t="shared" si="10"/>
        <v>-3.9377833569419134</v>
      </c>
      <c r="Q37" s="579">
        <f t="shared" si="10"/>
        <v>-4.6263168747726144</v>
      </c>
      <c r="R37" s="580">
        <f t="shared" si="10"/>
        <v>-5.2722476044482942</v>
      </c>
      <c r="S37" s="579">
        <f t="shared" si="10"/>
        <v>-5.878427560765239</v>
      </c>
      <c r="T37" s="579">
        <f t="shared" si="10"/>
        <v>-6.4475049491732195</v>
      </c>
      <c r="U37" s="579">
        <f t="shared" si="10"/>
        <v>-6.9819397845851032</v>
      </c>
      <c r="V37" s="579">
        <f t="shared" si="10"/>
        <v>-7.4840182156336201</v>
      </c>
      <c r="W37" s="579">
        <f t="shared" si="10"/>
        <v>-7.9558656712782696</v>
      </c>
      <c r="X37" s="579">
        <f t="shared" si="10"/>
        <v>-8.399458935119096</v>
      </c>
      <c r="Y37" s="579">
        <f t="shared" si="10"/>
        <v>-8.8166372424745649</v>
      </c>
      <c r="Z37" s="579">
        <f t="shared" si="10"/>
        <v>-9.2091124860823435</v>
      </c>
      <c r="AA37" s="581">
        <f t="shared" si="10"/>
        <v>-9.5784786080544997</v>
      </c>
    </row>
    <row r="38" spans="1:27">
      <c r="B38" s="90" t="s">
        <v>399</v>
      </c>
      <c r="G38" s="582"/>
      <c r="H38" s="579">
        <f>IF(H29&lt;0,1,IF(H29=0,0,-G29/H27))</f>
        <v>1</v>
      </c>
      <c r="I38" s="579">
        <f t="shared" ref="I38:AA38" si="11">IF(I29&lt;0,1,IF(I29=0,0,-H29/I27))</f>
        <v>1</v>
      </c>
      <c r="J38" s="579">
        <f t="shared" si="11"/>
        <v>1</v>
      </c>
      <c r="K38" s="579">
        <f t="shared" si="11"/>
        <v>0.38110291079552122</v>
      </c>
      <c r="L38" s="579">
        <f t="shared" si="11"/>
        <v>-1.1151946333653957</v>
      </c>
      <c r="M38" s="579">
        <f t="shared" si="11"/>
        <v>-2.8072505237465091</v>
      </c>
      <c r="N38" s="579">
        <f t="shared" si="11"/>
        <v>-4.7166300925507549</v>
      </c>
      <c r="O38" s="579">
        <f t="shared" si="11"/>
        <v>-6.8671457719410611</v>
      </c>
      <c r="P38" s="579">
        <f t="shared" si="11"/>
        <v>-9.2850871741594201</v>
      </c>
      <c r="Q38" s="579">
        <f t="shared" si="11"/>
        <v>-11.999474511974876</v>
      </c>
      <c r="R38" s="579">
        <f t="shared" si="11"/>
        <v>-15.042337718999871</v>
      </c>
      <c r="S38" s="579">
        <f t="shared" si="11"/>
        <v>-18.44902386720446</v>
      </c>
      <c r="T38" s="579">
        <f t="shared" si="11"/>
        <v>-22.25853574068778</v>
      </c>
      <c r="U38" s="579">
        <f t="shared" si="11"/>
        <v>-26.513904712844059</v>
      </c>
      <c r="V38" s="579">
        <f t="shared" si="11"/>
        <v>-31.262601391128968</v>
      </c>
      <c r="W38" s="579">
        <f t="shared" si="11"/>
        <v>-36.556987842610411</v>
      </c>
      <c r="X38" s="579">
        <f t="shared" si="11"/>
        <v>-42.454815597577955</v>
      </c>
      <c r="Y38" s="579">
        <f t="shared" si="11"/>
        <v>-49.019774051214817</v>
      </c>
      <c r="Z38" s="579">
        <f t="shared" si="11"/>
        <v>-56.32209434859346</v>
      </c>
      <c r="AA38" s="579">
        <f t="shared" si="11"/>
        <v>-64.439214350303104</v>
      </c>
    </row>
    <row r="39" spans="1:27" ht="13.5" customHeight="1">
      <c r="B39" s="577" t="s">
        <v>398</v>
      </c>
      <c r="C39" s="163"/>
      <c r="D39" s="163"/>
      <c r="E39" s="163"/>
      <c r="F39" s="163"/>
      <c r="H39" s="223">
        <f t="shared" ref="H39:AA40" si="12">IF(H37&gt;0,H37,0)</f>
        <v>1</v>
      </c>
      <c r="I39" s="223">
        <f t="shared" si="12"/>
        <v>1</v>
      </c>
      <c r="J39" s="223">
        <f t="shared" si="12"/>
        <v>1</v>
      </c>
      <c r="K39" s="223">
        <f>IF(K37&gt;0,K37,0)</f>
        <v>0.26029841595213521</v>
      </c>
      <c r="L39" s="223">
        <f t="shared" si="12"/>
        <v>0</v>
      </c>
      <c r="M39" s="223">
        <f t="shared" si="12"/>
        <v>0</v>
      </c>
      <c r="N39" s="223">
        <f t="shared" si="12"/>
        <v>0</v>
      </c>
      <c r="O39" s="223">
        <f t="shared" si="12"/>
        <v>0</v>
      </c>
      <c r="P39" s="223">
        <f t="shared" si="12"/>
        <v>0</v>
      </c>
      <c r="Q39" s="223">
        <f t="shared" si="12"/>
        <v>0</v>
      </c>
      <c r="R39" s="576">
        <f t="shared" si="12"/>
        <v>0</v>
      </c>
      <c r="S39" s="223">
        <f t="shared" si="12"/>
        <v>0</v>
      </c>
      <c r="T39" s="223">
        <f t="shared" si="12"/>
        <v>0</v>
      </c>
      <c r="U39" s="223">
        <f t="shared" si="12"/>
        <v>0</v>
      </c>
      <c r="V39" s="223">
        <f t="shared" si="12"/>
        <v>0</v>
      </c>
      <c r="W39" s="223">
        <f t="shared" si="12"/>
        <v>0</v>
      </c>
      <c r="X39" s="223">
        <f t="shared" si="12"/>
        <v>0</v>
      </c>
      <c r="Y39" s="223">
        <f t="shared" si="12"/>
        <v>0</v>
      </c>
      <c r="Z39" s="223">
        <f>IF(Z37&gt;0,Z37,0)</f>
        <v>0</v>
      </c>
      <c r="AA39" s="306">
        <f t="shared" si="12"/>
        <v>0</v>
      </c>
    </row>
    <row r="40" spans="1:27">
      <c r="B40" s="90" t="s">
        <v>399</v>
      </c>
      <c r="C40" s="163"/>
      <c r="D40" s="163"/>
      <c r="E40" s="163"/>
      <c r="F40" s="163"/>
      <c r="H40" s="223">
        <f t="shared" si="12"/>
        <v>1</v>
      </c>
      <c r="I40" s="223">
        <f t="shared" si="12"/>
        <v>1</v>
      </c>
      <c r="J40" s="223">
        <f t="shared" si="12"/>
        <v>1</v>
      </c>
      <c r="K40" s="223">
        <f t="shared" si="12"/>
        <v>0.38110291079552122</v>
      </c>
      <c r="L40" s="223">
        <f t="shared" si="12"/>
        <v>0</v>
      </c>
      <c r="M40" s="223">
        <f t="shared" si="12"/>
        <v>0</v>
      </c>
      <c r="N40" s="223">
        <f t="shared" si="12"/>
        <v>0</v>
      </c>
      <c r="O40" s="223">
        <f t="shared" si="12"/>
        <v>0</v>
      </c>
      <c r="P40" s="223">
        <f t="shared" si="12"/>
        <v>0</v>
      </c>
      <c r="Q40" s="223">
        <f t="shared" si="12"/>
        <v>0</v>
      </c>
      <c r="R40" s="223">
        <f t="shared" si="12"/>
        <v>0</v>
      </c>
      <c r="S40" s="223">
        <f t="shared" si="12"/>
        <v>0</v>
      </c>
      <c r="T40" s="223">
        <f t="shared" si="12"/>
        <v>0</v>
      </c>
      <c r="U40" s="223">
        <f t="shared" si="12"/>
        <v>0</v>
      </c>
      <c r="V40" s="223">
        <f t="shared" si="12"/>
        <v>0</v>
      </c>
      <c r="W40" s="223">
        <f t="shared" si="12"/>
        <v>0</v>
      </c>
      <c r="X40" s="223">
        <f t="shared" si="12"/>
        <v>0</v>
      </c>
      <c r="Y40" s="223">
        <f t="shared" si="12"/>
        <v>0</v>
      </c>
      <c r="Z40" s="223">
        <f t="shared" si="12"/>
        <v>0</v>
      </c>
      <c r="AA40" s="223">
        <f t="shared" si="12"/>
        <v>0</v>
      </c>
    </row>
    <row r="42" spans="1:27">
      <c r="L42" s="226"/>
      <c r="M42" s="226"/>
      <c r="N42" s="226"/>
      <c r="O42" s="226"/>
      <c r="P42" s="226"/>
      <c r="Q42" s="226"/>
    </row>
    <row r="43" spans="1:27" ht="25.5">
      <c r="B43" s="163" t="s">
        <v>457</v>
      </c>
      <c r="L43" s="226"/>
      <c r="M43" s="226"/>
      <c r="N43" s="226"/>
      <c r="O43" s="226"/>
      <c r="P43" s="226"/>
      <c r="Q43" s="226"/>
    </row>
    <row r="44" spans="1:27">
      <c r="B44" s="163" t="s">
        <v>458</v>
      </c>
      <c r="L44" s="226"/>
      <c r="M44" s="226"/>
      <c r="N44" s="226"/>
      <c r="O44" s="226"/>
      <c r="P44" s="226"/>
      <c r="Q44" s="226"/>
    </row>
    <row r="45" spans="1:27">
      <c r="B45" s="1" t="s">
        <v>467</v>
      </c>
    </row>
    <row r="46" spans="1:27">
      <c r="B46" s="1" t="s">
        <v>459</v>
      </c>
      <c r="H46" s="32">
        <v>1</v>
      </c>
    </row>
    <row r="47" spans="1:27">
      <c r="B47" s="1" t="s">
        <v>75</v>
      </c>
    </row>
    <row r="48" spans="1:27">
      <c r="B48" s="1" t="s">
        <v>468</v>
      </c>
    </row>
    <row r="49" spans="2:16">
      <c r="B49" s="1" t="s">
        <v>460</v>
      </c>
    </row>
    <row r="51" spans="2:16" ht="14.45" customHeight="1">
      <c r="B51" s="1" t="s">
        <v>38</v>
      </c>
    </row>
    <row r="52" spans="2:16">
      <c r="B52" s="1" t="s">
        <v>39</v>
      </c>
    </row>
    <row r="53" spans="2:16">
      <c r="B53" s="1" t="s">
        <v>469</v>
      </c>
      <c r="E53" s="583"/>
      <c r="F53" s="583"/>
      <c r="G53" s="583"/>
      <c r="I53" s="226"/>
      <c r="J53" s="226"/>
      <c r="K53" s="226"/>
      <c r="L53" s="226"/>
      <c r="M53" s="226"/>
      <c r="N53" s="226"/>
      <c r="P53" s="226"/>
    </row>
    <row r="54" spans="2:16">
      <c r="E54" s="583"/>
      <c r="F54" s="583"/>
      <c r="G54" s="583"/>
      <c r="I54" s="229"/>
      <c r="J54" s="1083"/>
      <c r="K54" s="1083"/>
      <c r="L54" s="1083"/>
      <c r="M54" s="1083"/>
      <c r="N54" s="1083"/>
    </row>
    <row r="55" spans="2:16" ht="38.25">
      <c r="B55" s="337"/>
      <c r="E55" s="583"/>
      <c r="F55" s="583"/>
      <c r="G55" s="584" t="s">
        <v>470</v>
      </c>
      <c r="H55" s="585">
        <v>4.4999999999999998E-2</v>
      </c>
      <c r="I55" s="583"/>
      <c r="J55" s="583"/>
      <c r="K55" s="583"/>
      <c r="L55" s="226"/>
      <c r="M55" s="226"/>
      <c r="N55" s="226"/>
      <c r="P55" s="226"/>
    </row>
    <row r="56" spans="2:16" ht="25.5" customHeight="1">
      <c r="E56" s="583"/>
      <c r="F56" s="583"/>
      <c r="G56" s="451" t="s">
        <v>346</v>
      </c>
      <c r="H56" s="586">
        <v>4</v>
      </c>
      <c r="I56" s="229"/>
      <c r="J56" s="1083"/>
      <c r="K56" s="1083"/>
      <c r="L56" s="1083"/>
      <c r="M56" s="1083"/>
      <c r="N56" s="1083"/>
    </row>
    <row r="57" spans="2:16" ht="19.5" customHeight="1">
      <c r="I57" s="229"/>
      <c r="J57" s="1083"/>
      <c r="K57" s="1083"/>
      <c r="L57" s="1083"/>
      <c r="M57" s="1083"/>
      <c r="N57" s="1083"/>
    </row>
    <row r="58" spans="2:16">
      <c r="I58" s="226"/>
      <c r="J58" s="226"/>
      <c r="K58" s="226"/>
      <c r="L58" s="226"/>
      <c r="M58" s="226"/>
      <c r="N58" s="226"/>
      <c r="P58" s="226"/>
    </row>
    <row r="59" spans="2:16">
      <c r="I59" s="226"/>
      <c r="J59" s="226"/>
      <c r="K59" s="226"/>
      <c r="L59" s="226"/>
      <c r="M59" s="226"/>
      <c r="N59" s="226"/>
      <c r="P59" s="226"/>
    </row>
    <row r="70" spans="8:13">
      <c r="H70" s="199"/>
      <c r="I70" s="199"/>
      <c r="J70" s="199"/>
      <c r="K70" s="199"/>
      <c r="L70" s="199"/>
      <c r="M70" s="199"/>
    </row>
    <row r="71" spans="8:13">
      <c r="H71" s="231" t="s">
        <v>87</v>
      </c>
      <c r="I71" s="231" t="s">
        <v>455</v>
      </c>
      <c r="J71" s="231" t="s">
        <v>456</v>
      </c>
      <c r="K71" s="231"/>
      <c r="L71" s="231">
        <v>0.05</v>
      </c>
      <c r="M71" s="231"/>
    </row>
    <row r="72" spans="8:13">
      <c r="H72" s="231">
        <v>350000</v>
      </c>
      <c r="I72" s="231">
        <v>200000</v>
      </c>
      <c r="J72" s="231">
        <v>120000</v>
      </c>
      <c r="K72" s="231"/>
      <c r="L72" s="231"/>
      <c r="M72" s="231"/>
    </row>
  </sheetData>
  <mergeCells count="10">
    <mergeCell ref="R3:AA3"/>
    <mergeCell ref="B4:B5"/>
    <mergeCell ref="A6:G6"/>
    <mergeCell ref="J54:N54"/>
    <mergeCell ref="J56:N56"/>
    <mergeCell ref="J57:N57"/>
    <mergeCell ref="A1:B1"/>
    <mergeCell ref="A2:B2"/>
    <mergeCell ref="A3:A5"/>
    <mergeCell ref="H3:Q3"/>
  </mergeCells>
  <hyperlinks>
    <hyperlink ref="B32" r:id="rId1" display="NPV@12%" xr:uid="{0AB16A9B-F344-4349-A0AA-CFB9DF8A3E15}"/>
  </hyperlinks>
  <pageMargins left="0.7" right="0.7" top="0.75" bottom="0.75" header="0.3" footer="0.3"/>
  <pageSetup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D3F-3B69-4D41-A2DB-E7A71CA372D7}">
  <sheetPr codeName="Sheet28"/>
  <dimension ref="A1:W38"/>
  <sheetViews>
    <sheetView showGridLines="0" topLeftCell="A20" zoomScale="93" zoomScaleNormal="93" workbookViewId="0">
      <selection activeCell="D26" sqref="D26"/>
    </sheetView>
  </sheetViews>
  <sheetFormatPr defaultRowHeight="15"/>
  <cols>
    <col min="1" max="1" width="5.140625" customWidth="1"/>
    <col min="2" max="2" width="55.5703125" bestFit="1" customWidth="1"/>
    <col min="3" max="3" width="14.7109375" bestFit="1" customWidth="1"/>
    <col min="4" max="4" width="20.42578125" customWidth="1"/>
    <col min="5" max="12" width="15.7109375" customWidth="1"/>
    <col min="13" max="23" width="9.140625" customWidth="1"/>
  </cols>
  <sheetData>
    <row r="1" spans="1:23">
      <c r="A1" s="1097" t="s">
        <v>660</v>
      </c>
      <c r="B1" s="1097"/>
      <c r="C1" s="1097"/>
      <c r="D1" s="1097"/>
    </row>
    <row r="2" spans="1:23">
      <c r="A2" s="588"/>
      <c r="B2" s="588" t="s">
        <v>479</v>
      </c>
      <c r="C2" s="588"/>
      <c r="D2" s="588" t="s">
        <v>118</v>
      </c>
      <c r="E2" s="496">
        <v>2028</v>
      </c>
      <c r="F2" s="496">
        <v>2029</v>
      </c>
      <c r="G2" s="496">
        <v>2030</v>
      </c>
      <c r="H2" s="496">
        <v>2031</v>
      </c>
      <c r="I2" s="496">
        <v>2032</v>
      </c>
      <c r="J2" s="496">
        <v>2033</v>
      </c>
      <c r="K2" s="496">
        <v>2034</v>
      </c>
      <c r="L2" s="496">
        <v>2035</v>
      </c>
      <c r="M2" s="496">
        <v>2036</v>
      </c>
      <c r="N2" s="496">
        <v>2037</v>
      </c>
      <c r="O2" s="496">
        <v>2038</v>
      </c>
      <c r="P2" s="496">
        <v>2039</v>
      </c>
      <c r="Q2" s="496">
        <v>2040</v>
      </c>
      <c r="R2" s="496">
        <v>2041</v>
      </c>
      <c r="S2" s="496">
        <v>2042</v>
      </c>
      <c r="T2" s="496">
        <v>2043</v>
      </c>
      <c r="U2" s="496">
        <v>2044</v>
      </c>
      <c r="V2" s="496">
        <v>2045</v>
      </c>
      <c r="W2" s="496">
        <v>2046</v>
      </c>
    </row>
    <row r="3" spans="1:23">
      <c r="A3" s="589" t="s">
        <v>480</v>
      </c>
      <c r="B3" s="589" t="s">
        <v>11</v>
      </c>
      <c r="C3" s="589"/>
      <c r="D3" s="108">
        <f>D4+D7+D9+D12</f>
        <v>1600.8119673324711</v>
      </c>
    </row>
    <row r="4" spans="1:23">
      <c r="A4" s="590" t="s">
        <v>481</v>
      </c>
      <c r="B4" s="590" t="s">
        <v>482</v>
      </c>
      <c r="C4" s="590"/>
      <c r="D4" s="591">
        <f>D5+D6</f>
        <v>1344.288902571471</v>
      </c>
      <c r="E4" s="592">
        <f>D4+D4*1.2%</f>
        <v>1360.4203694023286</v>
      </c>
      <c r="F4" s="592">
        <f t="shared" ref="F4:W4" si="0">E4+E4*1.2%</f>
        <v>1376.7454138351566</v>
      </c>
      <c r="G4" s="592">
        <f t="shared" si="0"/>
        <v>1393.2663588011785</v>
      </c>
      <c r="H4" s="592">
        <f t="shared" si="0"/>
        <v>1409.9855551067926</v>
      </c>
      <c r="I4" s="592">
        <f t="shared" si="0"/>
        <v>1426.9053817680742</v>
      </c>
      <c r="J4" s="592">
        <f t="shared" si="0"/>
        <v>1444.0282463492911</v>
      </c>
      <c r="K4" s="592">
        <f t="shared" si="0"/>
        <v>1461.3565853054827</v>
      </c>
      <c r="L4" s="592">
        <f t="shared" si="0"/>
        <v>1478.8928643291486</v>
      </c>
      <c r="M4" s="592">
        <f t="shared" si="0"/>
        <v>1496.6395787010983</v>
      </c>
      <c r="N4" s="592">
        <f t="shared" si="0"/>
        <v>1514.5992536455115</v>
      </c>
      <c r="O4" s="592">
        <f t="shared" si="0"/>
        <v>1532.7744446892575</v>
      </c>
      <c r="P4" s="592">
        <f t="shared" si="0"/>
        <v>1551.1677380255287</v>
      </c>
      <c r="Q4" s="592">
        <f t="shared" si="0"/>
        <v>1569.781750881835</v>
      </c>
      <c r="R4" s="592">
        <f t="shared" si="0"/>
        <v>1588.619131892417</v>
      </c>
      <c r="S4" s="592">
        <f t="shared" si="0"/>
        <v>1607.682561475126</v>
      </c>
      <c r="T4" s="592">
        <f t="shared" si="0"/>
        <v>1626.9747522128275</v>
      </c>
      <c r="U4" s="592">
        <f>T4+T4*1.2%</f>
        <v>1646.4984492393814</v>
      </c>
      <c r="V4" s="592">
        <f t="shared" si="0"/>
        <v>1666.256430630254</v>
      </c>
      <c r="W4" s="592">
        <f t="shared" si="0"/>
        <v>1686.2515077978171</v>
      </c>
    </row>
    <row r="5" spans="1:23">
      <c r="A5" s="593">
        <v>1</v>
      </c>
      <c r="B5" s="593" t="s">
        <v>12</v>
      </c>
      <c r="C5" s="593" t="s">
        <v>13</v>
      </c>
      <c r="D5" s="32">
        <f>(91750*'Financial Model Prop. Fur. Add.'!CM70+164000*'Financial Model Prop. Fur. Add.'!CM7)/10^7</f>
        <v>1250.260209571471</v>
      </c>
    </row>
    <row r="6" spans="1:23">
      <c r="A6" s="593">
        <v>2</v>
      </c>
      <c r="B6" s="593" t="s">
        <v>14</v>
      </c>
      <c r="C6" s="593"/>
      <c r="D6" s="32">
        <v>94.028693000000004</v>
      </c>
    </row>
    <row r="7" spans="1:23">
      <c r="A7" s="590" t="s">
        <v>5</v>
      </c>
      <c r="B7" s="590" t="s">
        <v>15</v>
      </c>
      <c r="C7" s="590"/>
      <c r="D7" s="591">
        <f>D8</f>
        <v>26.91</v>
      </c>
    </row>
    <row r="8" spans="1:23">
      <c r="A8" s="593">
        <v>3</v>
      </c>
      <c r="B8" s="593" t="s">
        <v>16</v>
      </c>
      <c r="C8" s="593" t="s">
        <v>13</v>
      </c>
      <c r="D8" s="32">
        <v>26.91</v>
      </c>
    </row>
    <row r="9" spans="1:23">
      <c r="A9" s="590" t="s">
        <v>6</v>
      </c>
      <c r="B9" s="590" t="s">
        <v>17</v>
      </c>
      <c r="C9" s="590"/>
      <c r="D9" s="591">
        <f>D11+D10</f>
        <v>199.07493038600003</v>
      </c>
    </row>
    <row r="10" spans="1:23">
      <c r="A10" s="593">
        <v>4</v>
      </c>
      <c r="B10" s="593" t="s">
        <v>18</v>
      </c>
      <c r="C10" s="593"/>
      <c r="D10" s="32">
        <v>24.52</v>
      </c>
    </row>
    <row r="11" spans="1:23">
      <c r="A11" s="593">
        <v>5</v>
      </c>
      <c r="B11" s="593" t="s">
        <v>19</v>
      </c>
      <c r="C11" s="593"/>
      <c r="D11" s="32">
        <v>174.55493038600002</v>
      </c>
    </row>
    <row r="12" spans="1:23">
      <c r="A12" s="590" t="s">
        <v>7</v>
      </c>
      <c r="B12" s="590" t="s">
        <v>20</v>
      </c>
      <c r="C12" s="590"/>
      <c r="D12" s="591">
        <f>D13+D14</f>
        <v>30.538134374999998</v>
      </c>
    </row>
    <row r="13" spans="1:23" ht="26.25">
      <c r="A13" s="593">
        <v>6</v>
      </c>
      <c r="B13" s="593" t="s">
        <v>347</v>
      </c>
      <c r="C13" s="3">
        <v>1.4999999999999999E-2</v>
      </c>
      <c r="D13" s="32">
        <v>26.530124999999998</v>
      </c>
    </row>
    <row r="14" spans="1:23">
      <c r="A14" s="593">
        <v>7</v>
      </c>
      <c r="B14" s="593" t="s">
        <v>86</v>
      </c>
      <c r="C14" s="3">
        <v>7.4999999999999997E-2</v>
      </c>
      <c r="D14" s="32">
        <v>4.0080093749999994</v>
      </c>
    </row>
    <row r="15" spans="1:23">
      <c r="A15" s="590" t="s">
        <v>483</v>
      </c>
      <c r="B15" s="590" t="s">
        <v>21</v>
      </c>
      <c r="C15" s="43"/>
      <c r="D15" s="591">
        <f>D17+D16</f>
        <v>80.54781646858082</v>
      </c>
      <c r="F15" s="32"/>
    </row>
    <row r="16" spans="1:23">
      <c r="A16" s="593">
        <v>9</v>
      </c>
      <c r="B16" s="593" t="s">
        <v>437</v>
      </c>
      <c r="C16" s="3">
        <v>2.5000000000000001E-2</v>
      </c>
      <c r="D16" s="32">
        <v>56.535636958593756</v>
      </c>
    </row>
    <row r="17" spans="1:23">
      <c r="A17" s="593">
        <v>10</v>
      </c>
      <c r="B17" s="593" t="s">
        <v>484</v>
      </c>
      <c r="C17" s="3">
        <v>1.4999999999999999E-2</v>
      </c>
      <c r="D17" s="32">
        <f>D3*C17</f>
        <v>24.012179509987067</v>
      </c>
    </row>
    <row r="18" spans="1:23">
      <c r="A18" s="589"/>
      <c r="B18" s="589" t="s">
        <v>22</v>
      </c>
      <c r="C18" s="589"/>
      <c r="D18" s="108">
        <f>D15+D3</f>
        <v>1681.3597838010519</v>
      </c>
    </row>
    <row r="21" spans="1:23">
      <c r="A21" s="1097" t="s">
        <v>659</v>
      </c>
      <c r="B21" s="1097"/>
      <c r="C21" s="1097"/>
      <c r="D21" s="1097"/>
    </row>
    <row r="22" spans="1:23">
      <c r="A22" s="588"/>
      <c r="B22" s="588" t="s">
        <v>479</v>
      </c>
      <c r="C22" s="588"/>
      <c r="D22" s="588" t="s">
        <v>118</v>
      </c>
      <c r="E22" s="496">
        <v>2028</v>
      </c>
      <c r="F22" s="496">
        <v>2029</v>
      </c>
      <c r="G22" s="496">
        <v>2030</v>
      </c>
      <c r="H22" s="496">
        <v>2031</v>
      </c>
      <c r="I22" s="496">
        <v>2032</v>
      </c>
      <c r="J22" s="496">
        <v>2033</v>
      </c>
      <c r="K22" s="496">
        <v>2034</v>
      </c>
      <c r="L22" s="496">
        <v>2035</v>
      </c>
      <c r="M22" s="496">
        <v>2036</v>
      </c>
      <c r="N22" s="496">
        <v>2037</v>
      </c>
      <c r="O22" s="496">
        <v>2038</v>
      </c>
      <c r="P22" s="496">
        <v>2039</v>
      </c>
      <c r="Q22" s="496">
        <v>2040</v>
      </c>
      <c r="R22" s="496">
        <v>2041</v>
      </c>
      <c r="S22" s="496">
        <v>2042</v>
      </c>
      <c r="T22" s="496">
        <v>2043</v>
      </c>
      <c r="U22" s="496">
        <v>2044</v>
      </c>
      <c r="V22" s="496">
        <v>2045</v>
      </c>
      <c r="W22" s="496">
        <v>2046</v>
      </c>
    </row>
    <row r="23" spans="1:23">
      <c r="A23" s="589" t="s">
        <v>480</v>
      </c>
      <c r="B23" s="589" t="s">
        <v>11</v>
      </c>
      <c r="C23" s="589"/>
      <c r="D23" s="108">
        <f>D24+D27+D29+D32</f>
        <v>1663.3199320992007</v>
      </c>
    </row>
    <row r="24" spans="1:23">
      <c r="A24" s="590" t="s">
        <v>481</v>
      </c>
      <c r="B24" s="590" t="s">
        <v>482</v>
      </c>
      <c r="C24" s="590"/>
      <c r="D24" s="591">
        <f>D25+D26</f>
        <v>1406.7968673382006</v>
      </c>
      <c r="E24" s="592">
        <f>D24+D24*1.2%</f>
        <v>1423.6784297462591</v>
      </c>
      <c r="F24" s="592">
        <f t="shared" ref="F24" si="1">E24+E24*1.2%</f>
        <v>1440.7625709032143</v>
      </c>
      <c r="G24" s="592">
        <f t="shared" ref="G24" si="2">F24+F24*1.2%</f>
        <v>1458.0517217540528</v>
      </c>
      <c r="H24" s="592">
        <f t="shared" ref="H24" si="3">G24+G24*1.2%</f>
        <v>1475.5483424151014</v>
      </c>
      <c r="I24" s="592">
        <f t="shared" ref="I24" si="4">H24+H24*1.2%</f>
        <v>1493.2549225240825</v>
      </c>
      <c r="J24" s="592">
        <f t="shared" ref="J24" si="5">I24+I24*1.2%</f>
        <v>1511.1739815943715</v>
      </c>
      <c r="K24" s="592">
        <f t="shared" ref="K24" si="6">J24+J24*1.2%</f>
        <v>1529.3080693735039</v>
      </c>
      <c r="L24" s="592">
        <f t="shared" ref="L24" si="7">K24+K24*1.2%</f>
        <v>1547.659766205986</v>
      </c>
      <c r="M24" s="592">
        <f t="shared" ref="M24" si="8">L24+L24*1.2%</f>
        <v>1566.2316834004578</v>
      </c>
      <c r="N24" s="592">
        <f t="shared" ref="N24" si="9">M24+M24*1.2%</f>
        <v>1585.0264636012632</v>
      </c>
      <c r="O24" s="592">
        <f t="shared" ref="O24" si="10">N24+N24*1.2%</f>
        <v>1604.0467811644785</v>
      </c>
      <c r="P24" s="592">
        <f t="shared" ref="P24" si="11">O24+O24*1.2%</f>
        <v>1623.2953425384521</v>
      </c>
      <c r="Q24" s="592">
        <f t="shared" ref="Q24" si="12">P24+P24*1.2%</f>
        <v>1642.7748866489135</v>
      </c>
      <c r="R24" s="592">
        <f t="shared" ref="R24" si="13">Q24+Q24*1.2%</f>
        <v>1662.4881852887004</v>
      </c>
      <c r="S24" s="592">
        <f t="shared" ref="S24" si="14">R24+R24*1.2%</f>
        <v>1682.4380435121648</v>
      </c>
      <c r="T24" s="592">
        <f t="shared" ref="T24" si="15">S24+S24*1.2%</f>
        <v>1702.6273000343108</v>
      </c>
      <c r="U24" s="592">
        <f>T24+T24*1.2%</f>
        <v>1723.0588276347225</v>
      </c>
      <c r="V24" s="592">
        <f t="shared" ref="V24" si="16">U24+U24*1.2%</f>
        <v>1743.7355335663392</v>
      </c>
      <c r="W24" s="592">
        <f t="shared" ref="W24" si="17">V24+V24*1.2%</f>
        <v>1764.6603599691352</v>
      </c>
    </row>
    <row r="25" spans="1:23">
      <c r="A25" s="593">
        <v>1</v>
      </c>
      <c r="B25" s="593" t="s">
        <v>12</v>
      </c>
      <c r="C25" s="593" t="s">
        <v>13</v>
      </c>
      <c r="D25" s="32">
        <f>(91750*'Financial Model Eth. Fur. Add.'!CM70+164000*'Financial Model Eth. Fur. Add.'!CM7)/10^7</f>
        <v>1312.7681743382007</v>
      </c>
    </row>
    <row r="26" spans="1:23">
      <c r="A26" s="593">
        <v>2</v>
      </c>
      <c r="B26" s="593" t="s">
        <v>14</v>
      </c>
      <c r="C26" s="593"/>
      <c r="D26" s="32">
        <v>94.028693000000004</v>
      </c>
    </row>
    <row r="27" spans="1:23">
      <c r="A27" s="590" t="s">
        <v>5</v>
      </c>
      <c r="B27" s="590" t="s">
        <v>15</v>
      </c>
      <c r="C27" s="590"/>
      <c r="D27" s="591">
        <f>D28</f>
        <v>26.91</v>
      </c>
    </row>
    <row r="28" spans="1:23">
      <c r="A28" s="593">
        <v>3</v>
      </c>
      <c r="B28" s="593" t="s">
        <v>16</v>
      </c>
      <c r="C28" s="593" t="s">
        <v>13</v>
      </c>
      <c r="D28" s="32">
        <v>26.91</v>
      </c>
    </row>
    <row r="29" spans="1:23">
      <c r="A29" s="590" t="s">
        <v>6</v>
      </c>
      <c r="B29" s="590" t="s">
        <v>17</v>
      </c>
      <c r="C29" s="590"/>
      <c r="D29" s="591">
        <f>D31+D30</f>
        <v>199.07493038600003</v>
      </c>
    </row>
    <row r="30" spans="1:23">
      <c r="A30" s="593">
        <v>4</v>
      </c>
      <c r="B30" s="593" t="s">
        <v>18</v>
      </c>
      <c r="C30" s="593"/>
      <c r="D30" s="32">
        <v>24.52</v>
      </c>
    </row>
    <row r="31" spans="1:23">
      <c r="A31" s="593">
        <v>5</v>
      </c>
      <c r="B31" s="593" t="s">
        <v>19</v>
      </c>
      <c r="C31" s="593"/>
      <c r="D31" s="32">
        <v>174.55493038600002</v>
      </c>
    </row>
    <row r="32" spans="1:23">
      <c r="A32" s="590" t="s">
        <v>7</v>
      </c>
      <c r="B32" s="590" t="s">
        <v>20</v>
      </c>
      <c r="C32" s="590"/>
      <c r="D32" s="591">
        <f>D33+D34</f>
        <v>30.538134374999998</v>
      </c>
    </row>
    <row r="33" spans="1:4" ht="26.25">
      <c r="A33" s="593">
        <v>6</v>
      </c>
      <c r="B33" s="593" t="s">
        <v>347</v>
      </c>
      <c r="C33" s="3">
        <v>1.4999999999999999E-2</v>
      </c>
      <c r="D33" s="32">
        <v>26.530124999999998</v>
      </c>
    </row>
    <row r="34" spans="1:4">
      <c r="A34" s="593">
        <v>7</v>
      </c>
      <c r="B34" s="593" t="s">
        <v>86</v>
      </c>
      <c r="C34" s="3">
        <v>7.4999999999999997E-2</v>
      </c>
      <c r="D34" s="32">
        <v>4.0080093749999994</v>
      </c>
    </row>
    <row r="35" spans="1:4">
      <c r="A35" s="590" t="s">
        <v>483</v>
      </c>
      <c r="B35" s="590" t="s">
        <v>21</v>
      </c>
      <c r="C35" s="43"/>
      <c r="D35" s="591">
        <f>D37+D36</f>
        <v>81.485435940081771</v>
      </c>
    </row>
    <row r="36" spans="1:4">
      <c r="A36" s="593">
        <v>9</v>
      </c>
      <c r="B36" s="593" t="s">
        <v>437</v>
      </c>
      <c r="C36" s="3">
        <v>2.5000000000000001E-2</v>
      </c>
      <c r="D36" s="32">
        <f>D16</f>
        <v>56.535636958593756</v>
      </c>
    </row>
    <row r="37" spans="1:4">
      <c r="A37" s="593">
        <v>10</v>
      </c>
      <c r="B37" s="593" t="s">
        <v>484</v>
      </c>
      <c r="C37" s="3">
        <v>1.4999999999999999E-2</v>
      </c>
      <c r="D37" s="32">
        <f>D23*C37</f>
        <v>24.949798981488009</v>
      </c>
    </row>
    <row r="38" spans="1:4">
      <c r="A38" s="589"/>
      <c r="B38" s="589" t="s">
        <v>22</v>
      </c>
      <c r="C38" s="589"/>
      <c r="D38" s="108">
        <f>D35+D23</f>
        <v>1744.8053680392825</v>
      </c>
    </row>
  </sheetData>
  <mergeCells count="2">
    <mergeCell ref="A1:D1"/>
    <mergeCell ref="A21:D21"/>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A743-C26F-49E9-9CC1-DAE69242212C}">
  <sheetPr codeName="Sheet26"/>
  <dimension ref="A1:F128"/>
  <sheetViews>
    <sheetView showGridLines="0" zoomScale="96" zoomScaleNormal="96" workbookViewId="0">
      <selection activeCell="A11" sqref="A11"/>
    </sheetView>
  </sheetViews>
  <sheetFormatPr defaultRowHeight="12.75"/>
  <cols>
    <col min="1" max="1" width="75.140625" style="1" bestFit="1" customWidth="1"/>
    <col min="2" max="2" width="29.42578125" style="1" customWidth="1"/>
    <col min="3" max="3" width="34.140625" style="1" customWidth="1"/>
    <col min="4" max="4" width="24.85546875" style="1" bestFit="1" customWidth="1"/>
    <col min="5" max="16384" width="9.140625" style="1"/>
  </cols>
  <sheetData>
    <row r="1" spans="1:4" ht="15" customHeight="1">
      <c r="A1" s="622" t="s">
        <v>509</v>
      </c>
      <c r="B1" s="624" t="s">
        <v>585</v>
      </c>
      <c r="C1" s="624" t="s">
        <v>514</v>
      </c>
      <c r="D1" s="624" t="s">
        <v>566</v>
      </c>
    </row>
    <row r="2" spans="1:4" ht="15.75" customHeight="1">
      <c r="A2" s="623" t="s">
        <v>577</v>
      </c>
      <c r="B2" s="625">
        <f>'Financial Model Prop. Fur. Add.'!CM69</f>
        <v>38499.365486230745</v>
      </c>
      <c r="C2" s="625">
        <f>'Financial Model Base Case'!CM68</f>
        <v>36151.23927984215</v>
      </c>
      <c r="D2" s="625">
        <f>'Financial Model Eth. Fur. Add.'!CM69</f>
        <v>36901.205856862325</v>
      </c>
    </row>
    <row r="3" spans="1:4">
      <c r="A3" s="623" t="s">
        <v>578</v>
      </c>
      <c r="B3" s="625">
        <f>'Financial Model Prop. Fur. Add.'!CM70</f>
        <v>47244.380438566972</v>
      </c>
      <c r="C3" s="625">
        <f>'Financial Model Base Case'!CM69</f>
        <v>46133.264218187942</v>
      </c>
      <c r="D3" s="625">
        <f>'Financial Model Eth. Fur. Add.'!CM70</f>
        <v>54057.237633850877</v>
      </c>
    </row>
    <row r="4" spans="1:4">
      <c r="A4" s="623"/>
      <c r="B4" s="625"/>
      <c r="C4" s="625"/>
      <c r="D4" s="625"/>
    </row>
    <row r="5" spans="1:4" s="167" customFormat="1">
      <c r="A5" s="167" t="s">
        <v>579</v>
      </c>
      <c r="B5" s="366">
        <f>SUM(B6:B11)</f>
        <v>49584.336298597358</v>
      </c>
      <c r="C5" s="366">
        <f t="shared" ref="C5" si="0">SUM(C6:C11)</f>
        <v>47128.19628671489</v>
      </c>
      <c r="D5" s="366">
        <f>SUM(D6:D11)</f>
        <v>47912.661326277994</v>
      </c>
    </row>
    <row r="6" spans="1:4" ht="15" customHeight="1">
      <c r="A6" s="1" t="s">
        <v>510</v>
      </c>
      <c r="B6" s="75">
        <f>1.046*B2</f>
        <v>40270.336298597358</v>
      </c>
      <c r="C6" s="75">
        <f>1.046*C2</f>
        <v>37814.19628671489</v>
      </c>
      <c r="D6" s="75">
        <f>D2*1.046</f>
        <v>38598.661326277994</v>
      </c>
    </row>
    <row r="7" spans="1:4" ht="15" customHeight="1">
      <c r="A7" s="1" t="s">
        <v>511</v>
      </c>
      <c r="B7" s="75">
        <v>2500</v>
      </c>
      <c r="C7" s="75">
        <v>2500</v>
      </c>
      <c r="D7" s="58">
        <v>2500</v>
      </c>
    </row>
    <row r="8" spans="1:4" ht="15" customHeight="1">
      <c r="A8" s="1" t="s">
        <v>106</v>
      </c>
      <c r="B8" s="75">
        <v>3000</v>
      </c>
      <c r="C8" s="75">
        <v>3000</v>
      </c>
      <c r="D8" s="58">
        <v>3000</v>
      </c>
    </row>
    <row r="9" spans="1:4" ht="15" customHeight="1">
      <c r="A9" s="1" t="s">
        <v>238</v>
      </c>
      <c r="B9" s="75">
        <v>2100</v>
      </c>
      <c r="C9" s="75">
        <v>2100</v>
      </c>
      <c r="D9" s="58">
        <v>2100</v>
      </c>
    </row>
    <row r="10" spans="1:4" ht="15" customHeight="1">
      <c r="A10" s="1" t="s">
        <v>31</v>
      </c>
      <c r="B10" s="75">
        <v>1814</v>
      </c>
      <c r="C10" s="75">
        <v>1814</v>
      </c>
      <c r="D10" s="58">
        <v>1814</v>
      </c>
    </row>
    <row r="11" spans="1:4" ht="15" customHeight="1">
      <c r="A11" s="1" t="s">
        <v>512</v>
      </c>
      <c r="B11" s="75">
        <v>-100</v>
      </c>
      <c r="C11" s="75">
        <v>-100</v>
      </c>
      <c r="D11" s="58">
        <v>-100</v>
      </c>
    </row>
    <row r="12" spans="1:4">
      <c r="A12" s="1" t="s">
        <v>404</v>
      </c>
      <c r="B12" s="75">
        <f>'Financial Model Prop. Fur. Add.'!CM72</f>
        <v>77898.572865773807</v>
      </c>
      <c r="C12" s="75">
        <f>B12</f>
        <v>77898.572865773807</v>
      </c>
      <c r="D12" s="75">
        <f>'Financial Model Eth. Fur. Add.'!CM72</f>
        <v>77898.572865773807</v>
      </c>
    </row>
    <row r="13" spans="1:4">
      <c r="A13" s="1" t="s">
        <v>513</v>
      </c>
      <c r="B13" s="75">
        <f t="shared" ref="B13" si="1">B12-B5</f>
        <v>28314.236567176449</v>
      </c>
      <c r="C13" s="75">
        <f t="shared" ref="C13" si="2">C12-C5</f>
        <v>30770.376579058917</v>
      </c>
      <c r="D13" s="75">
        <f>D12-D5</f>
        <v>29985.911539495813</v>
      </c>
    </row>
    <row r="14" spans="1:4">
      <c r="B14" s="75"/>
      <c r="C14" s="75"/>
      <c r="D14" s="58"/>
    </row>
    <row r="15" spans="1:4" s="167" customFormat="1">
      <c r="A15" s="167" t="s">
        <v>580</v>
      </c>
      <c r="B15" s="366">
        <f t="shared" ref="B15" si="3">SUM(B16:B21)</f>
        <v>50594.321070266902</v>
      </c>
      <c r="C15" s="366">
        <f t="shared" ref="C15" si="4">SUM(C16:C21)</f>
        <v>48081.826029431104</v>
      </c>
      <c r="D15" s="366">
        <f>SUM(D16:D21)</f>
        <v>48884.29026684269</v>
      </c>
    </row>
    <row r="16" spans="1:4">
      <c r="A16" s="1" t="s">
        <v>510</v>
      </c>
      <c r="B16" s="75">
        <f>1.07*B2</f>
        <v>41194.321070266902</v>
      </c>
      <c r="C16" s="75">
        <f>1.07*C2</f>
        <v>38681.826029431104</v>
      </c>
      <c r="D16" s="75">
        <f>1.07*D2</f>
        <v>39484.29026684269</v>
      </c>
    </row>
    <row r="17" spans="1:4">
      <c r="A17" s="1" t="s">
        <v>511</v>
      </c>
      <c r="B17" s="75">
        <v>4000</v>
      </c>
      <c r="C17" s="75">
        <v>4000</v>
      </c>
      <c r="D17" s="58">
        <v>4000</v>
      </c>
    </row>
    <row r="18" spans="1:4">
      <c r="A18" s="1" t="s">
        <v>106</v>
      </c>
      <c r="B18" s="75">
        <v>3500</v>
      </c>
      <c r="C18" s="75">
        <v>3500</v>
      </c>
      <c r="D18" s="58">
        <v>3500</v>
      </c>
    </row>
    <row r="19" spans="1:4">
      <c r="A19" s="1" t="s">
        <v>238</v>
      </c>
      <c r="B19" s="75">
        <v>1200</v>
      </c>
      <c r="C19" s="75">
        <v>1200</v>
      </c>
      <c r="D19" s="58">
        <v>1200</v>
      </c>
    </row>
    <row r="20" spans="1:4">
      <c r="A20" s="1" t="s">
        <v>31</v>
      </c>
      <c r="B20" s="75">
        <v>2700</v>
      </c>
      <c r="C20" s="75">
        <v>2700</v>
      </c>
      <c r="D20" s="58">
        <v>2700</v>
      </c>
    </row>
    <row r="21" spans="1:4">
      <c r="A21" s="1" t="s">
        <v>512</v>
      </c>
      <c r="B21" s="75">
        <v>-2000</v>
      </c>
      <c r="C21" s="75">
        <v>-2000</v>
      </c>
      <c r="D21" s="58">
        <v>-2000</v>
      </c>
    </row>
    <row r="22" spans="1:4">
      <c r="A22" s="1" t="s">
        <v>405</v>
      </c>
      <c r="B22" s="75">
        <f>'Financial Model Prop. Fur. Add.'!CM73</f>
        <v>80549.463627852514</v>
      </c>
      <c r="C22" s="75">
        <f>B22</f>
        <v>80549.463627852514</v>
      </c>
      <c r="D22" s="75">
        <f>'Financial Model Eth. Fur. Add.'!CM73</f>
        <v>80549.463627852514</v>
      </c>
    </row>
    <row r="23" spans="1:4">
      <c r="A23" s="1" t="s">
        <v>513</v>
      </c>
      <c r="B23" s="75">
        <f t="shared" ref="B23" si="5">B22-B15</f>
        <v>29955.142557585612</v>
      </c>
      <c r="C23" s="75">
        <f t="shared" ref="C23" si="6">C22-C15</f>
        <v>32467.63759842141</v>
      </c>
      <c r="D23" s="75">
        <f>D22-D15</f>
        <v>31665.173361009824</v>
      </c>
    </row>
    <row r="24" spans="1:4">
      <c r="B24" s="75"/>
      <c r="C24" s="75"/>
      <c r="D24" s="58"/>
    </row>
    <row r="25" spans="1:4" s="167" customFormat="1">
      <c r="A25" s="167" t="s">
        <v>581</v>
      </c>
      <c r="B25" s="366">
        <f t="shared" ref="B25" si="7">SUM(B26:B31)</f>
        <v>56359.355080056754</v>
      </c>
      <c r="C25" s="366">
        <f t="shared" ref="C25:D25" si="8">SUM(C26:C31)</f>
        <v>55193.794164879146</v>
      </c>
      <c r="D25" s="366">
        <f t="shared" si="8"/>
        <v>63506.042277909568</v>
      </c>
    </row>
    <row r="26" spans="1:4" ht="15" customHeight="1">
      <c r="A26" s="1" t="s">
        <v>510</v>
      </c>
      <c r="B26" s="75">
        <f>1.049*B3</f>
        <v>49559.355080056754</v>
      </c>
      <c r="C26" s="75">
        <f>1.049*C3</f>
        <v>48393.794164879146</v>
      </c>
      <c r="D26" s="75">
        <f>1.049*D3</f>
        <v>56706.042277909568</v>
      </c>
    </row>
    <row r="27" spans="1:4" ht="15" customHeight="1">
      <c r="A27" s="1" t="s">
        <v>511</v>
      </c>
      <c r="B27" s="75">
        <v>2500</v>
      </c>
      <c r="C27" s="75">
        <v>2500</v>
      </c>
      <c r="D27" s="75">
        <v>2500</v>
      </c>
    </row>
    <row r="28" spans="1:4" ht="15" customHeight="1">
      <c r="A28" s="1" t="s">
        <v>106</v>
      </c>
      <c r="B28" s="75">
        <v>2500</v>
      </c>
      <c r="C28" s="75">
        <v>2500</v>
      </c>
      <c r="D28" s="75">
        <v>2500</v>
      </c>
    </row>
    <row r="29" spans="1:4" ht="15" customHeight="1">
      <c r="A29" s="1" t="s">
        <v>238</v>
      </c>
      <c r="B29" s="75">
        <v>1600</v>
      </c>
      <c r="C29" s="75">
        <v>1600</v>
      </c>
      <c r="D29" s="75">
        <v>1600</v>
      </c>
    </row>
    <row r="30" spans="1:4" ht="15" customHeight="1">
      <c r="A30" s="1" t="s">
        <v>31</v>
      </c>
      <c r="B30" s="75">
        <v>1900</v>
      </c>
      <c r="C30" s="75">
        <v>1900</v>
      </c>
      <c r="D30" s="75">
        <v>1900</v>
      </c>
    </row>
    <row r="31" spans="1:4" ht="15" customHeight="1">
      <c r="A31" s="1" t="s">
        <v>610</v>
      </c>
      <c r="B31" s="75">
        <v>-1700</v>
      </c>
      <c r="C31" s="75">
        <v>-1700</v>
      </c>
      <c r="D31" s="75">
        <v>-1700</v>
      </c>
    </row>
    <row r="32" spans="1:4">
      <c r="A32" s="1" t="s">
        <v>406</v>
      </c>
      <c r="B32" s="75">
        <f>'Financial Model Prop. Fur. Add.'!CM74</f>
        <v>80729.185183779831</v>
      </c>
      <c r="C32" s="75">
        <f>B32</f>
        <v>80729.185183779831</v>
      </c>
      <c r="D32" s="75">
        <f>'Financial Model Eth. Fur. Add.'!CM74</f>
        <v>80729.185183779831</v>
      </c>
    </row>
    <row r="33" spans="1:4">
      <c r="A33" s="1" t="s">
        <v>513</v>
      </c>
      <c r="B33" s="75">
        <f>B32-B25</f>
        <v>24369.830103723078</v>
      </c>
      <c r="C33" s="75">
        <f t="shared" ref="C33:D33" si="9">C32-C25</f>
        <v>25535.391018900686</v>
      </c>
      <c r="D33" s="75">
        <f t="shared" si="9"/>
        <v>17223.142905870263</v>
      </c>
    </row>
    <row r="34" spans="1:4">
      <c r="B34" s="75"/>
      <c r="C34" s="75"/>
      <c r="D34" s="75"/>
    </row>
    <row r="35" spans="1:4">
      <c r="A35" s="167" t="s">
        <v>588</v>
      </c>
      <c r="B35" s="58"/>
      <c r="C35" s="58"/>
    </row>
    <row r="36" spans="1:4">
      <c r="A36" s="167" t="s">
        <v>587</v>
      </c>
      <c r="B36" s="1100"/>
      <c r="C36" s="1100"/>
    </row>
    <row r="37" spans="1:4">
      <c r="A37" s="1101" t="s">
        <v>569</v>
      </c>
      <c r="B37" s="1101"/>
      <c r="C37" s="1101"/>
      <c r="D37" s="1101"/>
    </row>
    <row r="38" spans="1:4">
      <c r="A38" s="944" t="s">
        <v>570</v>
      </c>
      <c r="B38" s="941">
        <f>'Opex PVC'!B65</f>
        <v>161200</v>
      </c>
      <c r="C38" s="941">
        <v>0</v>
      </c>
      <c r="D38" s="941">
        <f>'Opex PVC'!B65</f>
        <v>161200</v>
      </c>
    </row>
    <row r="39" spans="1:4">
      <c r="A39" s="943" t="s">
        <v>571</v>
      </c>
      <c r="B39" s="941">
        <f>Scenario!C3</f>
        <v>91750</v>
      </c>
      <c r="C39" s="941">
        <v>0</v>
      </c>
      <c r="D39" s="941">
        <f>Scenario!C3</f>
        <v>91750</v>
      </c>
    </row>
    <row r="40" spans="1:4">
      <c r="A40" s="943" t="s">
        <v>572</v>
      </c>
      <c r="B40" s="941">
        <f>0.35*(('Financial Model Prop. Fur. Add.'!CM16*12)-B38)/1.046</f>
        <v>396989.61408913328</v>
      </c>
      <c r="C40" s="941">
        <f>'Financial Model Base Case'!CM17*12*0.35/1.046</f>
        <v>367556.88336520077</v>
      </c>
      <c r="D40" s="941">
        <f>0.35*(('Financial Model Eth. Fur. Add.'!CM16*12)-D38)/1.046</f>
        <v>405494.07265774382</v>
      </c>
    </row>
    <row r="41" spans="1:4">
      <c r="A41" s="943" t="s">
        <v>573</v>
      </c>
      <c r="B41" s="941">
        <f>0.65*('Financial Model Prop. Fur. Add.'!CM16*12-B38)/1.07</f>
        <v>720729.6091300447</v>
      </c>
      <c r="C41" s="941">
        <f>('Financial Model Base Case'!CM17*12*0.65)/1.07</f>
        <v>667294.85981308413</v>
      </c>
      <c r="D41" s="941">
        <f>0.65*('Financial Model Eth. Fur. Add.'!CM16*12-D38)/1.07</f>
        <v>736169.34579439263</v>
      </c>
    </row>
    <row r="42" spans="1:4">
      <c r="A42" s="943" t="s">
        <v>574</v>
      </c>
      <c r="B42" s="941">
        <f>('Financial Model Prop. Fur. Add.'!CM17*12-B39)/1.049</f>
        <v>404935.75619473669</v>
      </c>
      <c r="C42" s="941">
        <f>'Financial Model Base Case'!CM18*12/1.049</f>
        <v>381286.93994280271</v>
      </c>
      <c r="D42" s="941">
        <f>('Financial Model Eth. Fur. Add.'!CM17*12-D39)/1.049</f>
        <v>238697.80743565303</v>
      </c>
    </row>
    <row r="43" spans="1:4">
      <c r="A43" s="943" t="s">
        <v>609</v>
      </c>
      <c r="B43" s="941">
        <f>(2616.23+1540.77+720.66)</f>
        <v>4877.66</v>
      </c>
      <c r="C43" s="941"/>
      <c r="D43" s="941">
        <f>(2616.23+1540.77+720.66)</f>
        <v>4877.66</v>
      </c>
    </row>
    <row r="44" spans="1:4">
      <c r="A44" s="943" t="s">
        <v>613</v>
      </c>
      <c r="B44" s="942">
        <f>B43+(B40*$B$12+B41*$B$22+B42*$B$32)/10^7</f>
        <v>17044.604146559348</v>
      </c>
      <c r="C44" s="942">
        <f>(C40*$C$12+C41*$C$22+C42*$C$32)/10^7</f>
        <v>11316.338368350704</v>
      </c>
      <c r="D44" s="942">
        <f>D43+(D40*$D$12+D41*$D$22+D42*$D$32)/10^7</f>
        <v>15893.19350080091</v>
      </c>
    </row>
    <row r="45" spans="1:4" hidden="1">
      <c r="A45" s="943" t="s">
        <v>611</v>
      </c>
      <c r="B45" s="942">
        <f>(B40*$B$12+B41*$B$22+B42*$B$32)/10^7</f>
        <v>12166.944146559348</v>
      </c>
      <c r="C45" s="942"/>
      <c r="D45" s="942">
        <f>(D40*$B$12+D41*$B$22+D42*$B$32)/10^7</f>
        <v>11015.53350080091</v>
      </c>
    </row>
    <row r="46" spans="1:4" ht="15" customHeight="1">
      <c r="A46" s="626" t="s">
        <v>612</v>
      </c>
      <c r="B46" s="940">
        <f>B45-C44</f>
        <v>850.60577820864455</v>
      </c>
      <c r="C46" s="942"/>
      <c r="D46" s="940">
        <f>C44-D45</f>
        <v>300.80486754979393</v>
      </c>
    </row>
    <row r="47" spans="1:4" ht="15">
      <c r="A47" s="626" t="s">
        <v>614</v>
      </c>
      <c r="B47" s="940">
        <f>B44-C44</f>
        <v>5728.2657782086444</v>
      </c>
      <c r="C47" s="606"/>
      <c r="D47" s="940">
        <f>D44-C44</f>
        <v>4576.8551324502059</v>
      </c>
    </row>
    <row r="48" spans="1:4">
      <c r="B48" s="58"/>
      <c r="C48" s="58"/>
    </row>
    <row r="49" spans="1:5" ht="27.75" customHeight="1">
      <c r="A49" s="1102" t="str">
        <f>CONCATENATE("If OPaL goes with  Propane furnace case, it will incur the surplus revenue of   ",ROUND(B47,0)," INR Crore compared to a ethane furnace case incurring a revenue of  ", ROUND(D47,0)," INR Crore w.r.t. base case.")</f>
        <v>If OPaL goes with  Propane furnace case, it will incur the surplus revenue of   5728 INR Crore compared to a ethane furnace case incurring a revenue of  4577 INR Crore w.r.t. base case.</v>
      </c>
      <c r="B49" s="1102"/>
      <c r="C49" s="1102"/>
      <c r="D49" s="1102"/>
      <c r="E49" s="1102"/>
    </row>
    <row r="50" spans="1:5">
      <c r="A50" s="945"/>
      <c r="B50" s="945"/>
      <c r="C50" s="945"/>
      <c r="D50" s="945"/>
      <c r="E50" s="945"/>
    </row>
    <row r="51" spans="1:5">
      <c r="A51" s="945" t="s">
        <v>586</v>
      </c>
      <c r="B51" s="945"/>
      <c r="C51" s="945"/>
      <c r="D51" s="945"/>
      <c r="E51" s="945"/>
    </row>
    <row r="52" spans="1:5">
      <c r="A52" s="167" t="s">
        <v>589</v>
      </c>
      <c r="B52" s="1100"/>
      <c r="C52" s="1100"/>
      <c r="E52" s="945"/>
    </row>
    <row r="53" spans="1:5">
      <c r="A53" s="1101" t="s">
        <v>569</v>
      </c>
      <c r="B53" s="1101"/>
      <c r="C53" s="1101"/>
      <c r="D53" s="1101"/>
      <c r="E53" s="945"/>
    </row>
    <row r="54" spans="1:5">
      <c r="A54" s="944" t="s">
        <v>570</v>
      </c>
      <c r="B54" s="941">
        <v>0</v>
      </c>
      <c r="C54" s="941">
        <v>0</v>
      </c>
      <c r="D54" s="941">
        <v>0</v>
      </c>
      <c r="E54" s="945"/>
    </row>
    <row r="55" spans="1:5">
      <c r="A55" s="943" t="s">
        <v>571</v>
      </c>
      <c r="B55" s="941">
        <f>Scenario!C3</f>
        <v>91750</v>
      </c>
      <c r="C55" s="941">
        <v>0</v>
      </c>
      <c r="D55" s="941">
        <f>Scenario!C3</f>
        <v>91750</v>
      </c>
      <c r="E55" s="945"/>
    </row>
    <row r="56" spans="1:5">
      <c r="A56" s="943" t="s">
        <v>572</v>
      </c>
      <c r="B56" s="941">
        <f>0.35*(('Financial Model Prop. Fur. Add.'!CM16*12)-B54)/1.046</f>
        <v>450928.42862068204</v>
      </c>
      <c r="C56" s="941">
        <f>'Financial Model Base Case'!CM17*12*0.35/1.046</f>
        <v>367556.88336520077</v>
      </c>
      <c r="D56" s="941">
        <f>0.35*(('Financial Model Eth. Fur. Add.'!CM16*12)-D54)/1.046</f>
        <v>459432.88718929258</v>
      </c>
      <c r="E56" s="945"/>
    </row>
    <row r="57" spans="1:5">
      <c r="A57" s="943" t="s">
        <v>573</v>
      </c>
      <c r="B57" s="941">
        <f>0.65*('Financial Model Prop. Fur. Add.'!CM16*12-B54)/1.07</f>
        <v>818654.84277490445</v>
      </c>
      <c r="C57" s="941">
        <f>('Financial Model Base Case'!CM17*12*0.65)/1.07</f>
        <v>667294.85981308413</v>
      </c>
      <c r="D57" s="941">
        <f>0.65*('Financial Model Eth. Fur. Add.'!CM16*12-D54)/1.07</f>
        <v>834094.5794392525</v>
      </c>
      <c r="E57" s="945"/>
    </row>
    <row r="58" spans="1:5">
      <c r="A58" s="943" t="s">
        <v>574</v>
      </c>
      <c r="B58" s="941">
        <f>('Financial Model Prop. Fur. Add.'!CM17*12-B55)/1.049</f>
        <v>404935.75619473669</v>
      </c>
      <c r="C58" s="941">
        <f>'Financial Model Base Case'!CM18*12/1.049</f>
        <v>381286.93994280271</v>
      </c>
      <c r="D58" s="941">
        <f>('Financial Model Eth. Fur. Add.'!CM17*12-D55)/1.049</f>
        <v>238697.80743565303</v>
      </c>
      <c r="E58" s="945"/>
    </row>
    <row r="59" spans="1:5">
      <c r="A59" s="943" t="s">
        <v>609</v>
      </c>
      <c r="B59" s="941">
        <f>(1540.77+720.66)</f>
        <v>2261.4299999999998</v>
      </c>
      <c r="C59" s="941"/>
      <c r="D59" s="941">
        <f>(1540.77+720.66)</f>
        <v>2261.4299999999998</v>
      </c>
    </row>
    <row r="60" spans="1:5">
      <c r="A60" s="943" t="s">
        <v>575</v>
      </c>
      <c r="B60" s="942">
        <f>B59+(B56*$B$12+B57*$B$22+B58*$B$32)/10^7</f>
        <v>15637.332318539839</v>
      </c>
      <c r="C60" s="942">
        <f>(C56*$C$12+C57*$C$22+C58*$C$32)/10^7</f>
        <v>11316.338368350704</v>
      </c>
      <c r="D60" s="942">
        <f>D59+(D56*$D$12+D57*$D$22+D58*$D$32)/10^7</f>
        <v>14485.921672781404</v>
      </c>
      <c r="E60" s="945"/>
    </row>
    <row r="61" spans="1:5" ht="15">
      <c r="A61" s="626" t="s">
        <v>576</v>
      </c>
      <c r="B61" s="940">
        <f>B60-C60</f>
        <v>4320.9939501891349</v>
      </c>
      <c r="C61" s="606"/>
      <c r="D61" s="940">
        <f>D60-C60</f>
        <v>3169.5833044307001</v>
      </c>
      <c r="E61" s="945"/>
    </row>
    <row r="62" spans="1:5" ht="12.75" customHeight="1">
      <c r="B62" s="58"/>
      <c r="C62" s="58"/>
      <c r="E62" s="945"/>
    </row>
    <row r="63" spans="1:5" ht="27.75" customHeight="1">
      <c r="A63" s="1102" t="str">
        <f>CONCATENATE("If OPaL goes with  Propane furnace case, it will incur the surplus revenue of   ",ROUND(B61,0)," INR Crore compared to a ethane furnace case incurring a revenue of  ", ROUND(D61,0)," INR Crore w.r.t. base case.")</f>
        <v>If OPaL goes with  Propane furnace case, it will incur the surplus revenue of   4321 INR Crore compared to a ethane furnace case incurring a revenue of  3170 INR Crore w.r.t. base case.</v>
      </c>
      <c r="B63" s="1102"/>
      <c r="C63" s="1102"/>
      <c r="D63" s="1102"/>
      <c r="E63" s="1102"/>
    </row>
    <row r="64" spans="1:5" ht="27.75" customHeight="1">
      <c r="A64" s="977"/>
      <c r="B64" s="977"/>
      <c r="C64" s="977"/>
      <c r="D64" s="977"/>
      <c r="E64" s="977"/>
    </row>
    <row r="65" spans="1:5">
      <c r="A65" s="167" t="s">
        <v>586</v>
      </c>
      <c r="B65" s="58"/>
      <c r="C65" s="58"/>
      <c r="E65" s="945"/>
    </row>
    <row r="66" spans="1:5">
      <c r="A66" s="167" t="s">
        <v>590</v>
      </c>
      <c r="B66" s="1100"/>
      <c r="C66" s="1100"/>
      <c r="E66" s="945"/>
    </row>
    <row r="67" spans="1:5">
      <c r="A67" s="1101" t="s">
        <v>569</v>
      </c>
      <c r="B67" s="1101"/>
      <c r="C67" s="1101"/>
      <c r="D67" s="1101"/>
      <c r="E67" s="945"/>
    </row>
    <row r="68" spans="1:5">
      <c r="A68" s="944" t="s">
        <v>570</v>
      </c>
      <c r="B68" s="941">
        <f>'Opex PVC'!B65</f>
        <v>161200</v>
      </c>
      <c r="C68" s="941">
        <v>0</v>
      </c>
      <c r="D68" s="941">
        <f>'Opex PVC'!B65</f>
        <v>161200</v>
      </c>
      <c r="E68" s="945"/>
    </row>
    <row r="69" spans="1:5">
      <c r="A69" s="943" t="s">
        <v>571</v>
      </c>
      <c r="B69" s="941">
        <v>0</v>
      </c>
      <c r="C69" s="941">
        <v>0</v>
      </c>
      <c r="D69" s="941">
        <v>0</v>
      </c>
      <c r="E69" s="945"/>
    </row>
    <row r="70" spans="1:5">
      <c r="A70" s="943" t="s">
        <v>572</v>
      </c>
      <c r="B70" s="941">
        <f>0.35*(('Financial Model Prop. Fur. Add.'!CM16*12)-B68)/1.046</f>
        <v>396989.61408913328</v>
      </c>
      <c r="C70" s="941">
        <f>'Financial Model Base Case'!CM17*12*0.35/1.046</f>
        <v>367556.88336520077</v>
      </c>
      <c r="D70" s="941">
        <f>0.35*(('Financial Model Eth. Fur. Add.'!CM16*12)-D68)/1.046</f>
        <v>405494.07265774382</v>
      </c>
      <c r="E70" s="945"/>
    </row>
    <row r="71" spans="1:5">
      <c r="A71" s="943" t="s">
        <v>573</v>
      </c>
      <c r="B71" s="941">
        <f>0.65*('Financial Model Prop. Fur. Add.'!CM16*12-B68)/1.07</f>
        <v>720729.6091300447</v>
      </c>
      <c r="C71" s="941">
        <f>('Financial Model Base Case'!CM17*12*0.65)/1.07</f>
        <v>667294.85981308413</v>
      </c>
      <c r="D71" s="941">
        <f>0.65*('Financial Model Eth. Fur. Add.'!CM16*12-D68)/1.07</f>
        <v>736169.34579439263</v>
      </c>
      <c r="E71" s="945"/>
    </row>
    <row r="72" spans="1:5">
      <c r="A72" s="943" t="s">
        <v>574</v>
      </c>
      <c r="B72" s="941">
        <f>('Financial Model Prop. Fur. Add.'!CM17*12-B69)/1.049</f>
        <v>492400.00786299218</v>
      </c>
      <c r="C72" s="941">
        <f>'Financial Model Base Case'!CM18*12/1.049</f>
        <v>381286.93994280271</v>
      </c>
      <c r="D72" s="941">
        <f>('Financial Model Eth. Fur. Add.'!CM17*12-D69)/1.049</f>
        <v>326162.05910390848</v>
      </c>
      <c r="E72" s="945"/>
    </row>
    <row r="73" spans="1:5">
      <c r="A73" s="943" t="s">
        <v>609</v>
      </c>
      <c r="B73" s="941">
        <f>(2616.23)</f>
        <v>2616.23</v>
      </c>
      <c r="C73" s="941"/>
      <c r="D73" s="941">
        <f>(2616.23)</f>
        <v>2616.23</v>
      </c>
    </row>
    <row r="74" spans="1:5">
      <c r="A74" s="943" t="s">
        <v>575</v>
      </c>
      <c r="B74" s="942">
        <f>B73+(B70*$B$12+B71*$B$22+B72*$B$32)/10^7</f>
        <v>15489.265923548081</v>
      </c>
      <c r="C74" s="942">
        <f>(C70*$C$12+C71*$C$22+C72*$C$32)/10^7</f>
        <v>11316.338368350704</v>
      </c>
      <c r="D74" s="942">
        <f>D73+(D70*$D$12+D71*$D$22+D72*$D$32)/10^7</f>
        <v>14337.85527778964</v>
      </c>
      <c r="E74" s="945"/>
    </row>
    <row r="75" spans="1:5" ht="15">
      <c r="A75" s="626" t="s">
        <v>576</v>
      </c>
      <c r="B75" s="940">
        <f>B74-C74</f>
        <v>4172.9275551973769</v>
      </c>
      <c r="C75" s="606"/>
      <c r="D75" s="940">
        <f>D74-C74</f>
        <v>3021.5169094389366</v>
      </c>
      <c r="E75" s="945"/>
    </row>
    <row r="76" spans="1:5" ht="15">
      <c r="A76" s="626"/>
      <c r="B76" s="606"/>
      <c r="C76" s="606"/>
      <c r="D76" s="606"/>
      <c r="E76" s="945"/>
    </row>
    <row r="77" spans="1:5" ht="27.75" customHeight="1">
      <c r="A77" s="1102" t="str">
        <f>CONCATENATE("If OPaL goes with  Propane furnace case, it will incur the surplus revenue of   ",ROUND(B75,0)," INR Crore compared to a ethane furnace case incurring a revenue of  ", ROUND(D75,0)," INR Crore w.r.t. base case.")</f>
        <v>If OPaL goes with  Propane furnace case, it will incur the surplus revenue of   4173 INR Crore compared to a ethane furnace case incurring a revenue of  3022 INR Crore w.r.t. base case.</v>
      </c>
      <c r="B77" s="1102"/>
      <c r="C77" s="1102"/>
      <c r="D77" s="1102"/>
      <c r="E77" s="1102"/>
    </row>
    <row r="78" spans="1:5">
      <c r="A78" s="167" t="s">
        <v>586</v>
      </c>
      <c r="B78" s="58"/>
      <c r="C78" s="58"/>
      <c r="E78" s="945"/>
    </row>
    <row r="79" spans="1:5">
      <c r="A79" s="167" t="s">
        <v>591</v>
      </c>
      <c r="B79" s="1100"/>
      <c r="C79" s="1100"/>
      <c r="E79" s="945"/>
    </row>
    <row r="80" spans="1:5">
      <c r="A80" s="1101" t="s">
        <v>569</v>
      </c>
      <c r="B80" s="1101"/>
      <c r="C80" s="1101"/>
      <c r="D80" s="1101"/>
      <c r="E80" s="945"/>
    </row>
    <row r="81" spans="1:6">
      <c r="A81" s="944" t="s">
        <v>570</v>
      </c>
      <c r="B81" s="941">
        <v>0</v>
      </c>
      <c r="C81" s="941">
        <v>0</v>
      </c>
      <c r="D81" s="941">
        <v>0</v>
      </c>
      <c r="E81" s="945"/>
    </row>
    <row r="82" spans="1:6">
      <c r="A82" s="943" t="s">
        <v>571</v>
      </c>
      <c r="B82" s="941">
        <v>0</v>
      </c>
      <c r="C82" s="941">
        <v>0</v>
      </c>
      <c r="D82" s="941">
        <v>0</v>
      </c>
      <c r="E82" s="945"/>
    </row>
    <row r="83" spans="1:6">
      <c r="A83" s="943" t="s">
        <v>572</v>
      </c>
      <c r="B83" s="941">
        <f>0.35*(('Financial Model Prop. Fur. Add.'!CM16*12)-B81)/1.046</f>
        <v>450928.42862068204</v>
      </c>
      <c r="C83" s="941">
        <f>'Financial Model Base Case'!CM17*12*0.35/1.046</f>
        <v>367556.88336520077</v>
      </c>
      <c r="D83" s="941">
        <f>0.35*(('Financial Model Eth. Fur. Add.'!CM16*12)-D81)/1.046</f>
        <v>459432.88718929258</v>
      </c>
      <c r="E83" s="1098"/>
      <c r="F83" s="1098"/>
    </row>
    <row r="84" spans="1:6">
      <c r="A84" s="943" t="s">
        <v>573</v>
      </c>
      <c r="B84" s="941">
        <f>0.65*('Financial Model Prop. Fur. Add.'!CM16*12-B81)/1.07</f>
        <v>818654.84277490445</v>
      </c>
      <c r="C84" s="941">
        <f>('Financial Model Base Case'!CM17*12*0.65)/1.07</f>
        <v>667294.85981308413</v>
      </c>
      <c r="D84" s="941">
        <f>0.65*('Financial Model Eth. Fur. Add.'!CM16*12-D81)/1.07</f>
        <v>834094.5794392525</v>
      </c>
      <c r="E84" s="1099"/>
      <c r="F84" s="1099"/>
    </row>
    <row r="85" spans="1:6">
      <c r="A85" s="943" t="s">
        <v>574</v>
      </c>
      <c r="B85" s="941">
        <f>('Financial Model Prop. Fur. Add.'!CM17*12-B82)/1.049</f>
        <v>492400.00786299218</v>
      </c>
      <c r="C85" s="941">
        <f>'Financial Model Base Case'!CM18*12/1.049</f>
        <v>381286.93994280271</v>
      </c>
      <c r="D85" s="941">
        <f>('Financial Model Eth. Fur. Add.'!CM17*12-D82)/1.049</f>
        <v>326162.05910390848</v>
      </c>
      <c r="E85" s="366"/>
      <c r="F85" s="366"/>
    </row>
    <row r="86" spans="1:6">
      <c r="A86" s="943" t="s">
        <v>575</v>
      </c>
      <c r="B86" s="942">
        <f>(B83*$B$12+B84*$B$22+B85*$B$32)/10^7</f>
        <v>14081.994095528571</v>
      </c>
      <c r="C86" s="942">
        <f>(C83*$C$12+C84*$C$22+C85*$C$32)/10^7</f>
        <v>11316.338368350704</v>
      </c>
      <c r="D86" s="942">
        <f>(D83*$D$12+D84*$D$22+D85*$D$32)/10^7</f>
        <v>12930.583449770134</v>
      </c>
      <c r="E86" s="945"/>
    </row>
    <row r="87" spans="1:6" ht="15">
      <c r="A87" s="626" t="s">
        <v>576</v>
      </c>
      <c r="B87" s="940">
        <f>B86-C86</f>
        <v>2765.6557271778674</v>
      </c>
      <c r="C87" s="606"/>
      <c r="D87" s="940">
        <f>D86-C86</f>
        <v>1614.2450814194308</v>
      </c>
      <c r="E87" s="945"/>
      <c r="F87" s="961"/>
    </row>
    <row r="88" spans="1:6" ht="15">
      <c r="A88" s="626"/>
      <c r="E88" s="945"/>
      <c r="F88" s="961"/>
    </row>
    <row r="89" spans="1:6" ht="27.75" customHeight="1">
      <c r="A89" s="1102" t="str">
        <f>CONCATENATE("If OPaL goes with  Propane furnace case, it will incur the surplus revenue of   ",ROUND(B87,0)," INR Crore compared to a ethane furnace case incurring a revenue of  ", ROUND(D87,0)," INR Crore w.r.t. base case.")</f>
        <v>If OPaL goes with  Propane furnace case, it will incur the surplus revenue of   2766 INR Crore compared to a ethane furnace case incurring a revenue of  1614 INR Crore w.r.t. base case.</v>
      </c>
      <c r="B89" s="1102"/>
      <c r="C89" s="1102"/>
      <c r="D89" s="1102"/>
      <c r="E89" s="1102"/>
    </row>
    <row r="90" spans="1:6" ht="45" customHeight="1">
      <c r="A90" s="1103" t="s">
        <v>584</v>
      </c>
      <c r="B90" s="1104"/>
      <c r="C90" s="1104"/>
      <c r="D90" s="1104"/>
      <c r="E90" s="945"/>
    </row>
    <row r="91" spans="1:6">
      <c r="A91" s="167"/>
      <c r="B91" s="58"/>
      <c r="C91" s="58"/>
    </row>
    <row r="92" spans="1:6">
      <c r="A92" s="1101"/>
      <c r="B92" s="1101"/>
      <c r="C92" s="1101"/>
      <c r="D92" s="1101"/>
    </row>
    <row r="93" spans="1:6">
      <c r="A93" s="944"/>
      <c r="B93" s="941"/>
      <c r="C93" s="941"/>
      <c r="D93" s="941"/>
    </row>
    <row r="94" spans="1:6">
      <c r="A94" s="943"/>
      <c r="B94" s="941"/>
      <c r="C94" s="941"/>
      <c r="D94" s="941"/>
    </row>
    <row r="95" spans="1:6">
      <c r="A95" s="943"/>
      <c r="B95" s="941"/>
      <c r="C95" s="941"/>
      <c r="D95" s="941"/>
    </row>
    <row r="96" spans="1:6">
      <c r="A96" s="943"/>
      <c r="B96" s="941"/>
      <c r="C96" s="941"/>
      <c r="D96" s="941"/>
    </row>
    <row r="97" spans="1:4">
      <c r="A97" s="943"/>
      <c r="B97" s="941"/>
      <c r="C97" s="941"/>
      <c r="D97" s="941"/>
    </row>
    <row r="98" spans="1:4">
      <c r="A98" s="943"/>
      <c r="B98" s="942"/>
      <c r="C98" s="942"/>
      <c r="D98" s="942"/>
    </row>
    <row r="99" spans="1:4">
      <c r="A99" s="167"/>
      <c r="B99" s="58"/>
      <c r="C99" s="58"/>
    </row>
    <row r="100" spans="1:4">
      <c r="A100" s="1101"/>
      <c r="B100" s="1101"/>
      <c r="C100" s="1101"/>
      <c r="D100" s="1101"/>
    </row>
    <row r="101" spans="1:4">
      <c r="A101" s="944"/>
      <c r="B101" s="941"/>
      <c r="C101" s="941"/>
      <c r="D101" s="941"/>
    </row>
    <row r="102" spans="1:4">
      <c r="A102" s="943"/>
      <c r="B102" s="941"/>
      <c r="C102" s="941"/>
      <c r="D102" s="941"/>
    </row>
    <row r="103" spans="1:4">
      <c r="A103" s="943"/>
      <c r="B103" s="941"/>
      <c r="C103" s="941"/>
      <c r="D103" s="941"/>
    </row>
    <row r="104" spans="1:4">
      <c r="A104" s="943"/>
      <c r="B104" s="941"/>
      <c r="C104" s="941"/>
      <c r="D104" s="941"/>
    </row>
    <row r="105" spans="1:4">
      <c r="A105" s="943"/>
      <c r="B105" s="941"/>
      <c r="C105" s="941"/>
      <c r="D105" s="941"/>
    </row>
    <row r="106" spans="1:4">
      <c r="A106" s="943"/>
      <c r="B106" s="942"/>
      <c r="C106" s="942"/>
      <c r="D106" s="942"/>
    </row>
    <row r="107" spans="1:4">
      <c r="B107" s="58"/>
      <c r="C107" s="58"/>
    </row>
    <row r="108" spans="1:4">
      <c r="B108" s="58"/>
      <c r="C108" s="58"/>
    </row>
    <row r="109" spans="1:4">
      <c r="B109" s="58"/>
      <c r="C109" s="58"/>
    </row>
    <row r="110" spans="1:4">
      <c r="B110" s="58"/>
      <c r="C110" s="58"/>
    </row>
    <row r="111" spans="1:4">
      <c r="B111" s="58"/>
      <c r="C111" s="58"/>
    </row>
    <row r="112" spans="1:4">
      <c r="B112" s="58"/>
      <c r="C112" s="58"/>
    </row>
    <row r="113" spans="2:3">
      <c r="B113" s="58"/>
      <c r="C113" s="58"/>
    </row>
    <row r="114" spans="2:3">
      <c r="B114" s="58"/>
      <c r="C114" s="58"/>
    </row>
    <row r="115" spans="2:3">
      <c r="B115" s="58"/>
      <c r="C115" s="58"/>
    </row>
    <row r="116" spans="2:3">
      <c r="B116" s="58"/>
      <c r="C116" s="58"/>
    </row>
    <row r="117" spans="2:3">
      <c r="B117" s="58"/>
      <c r="C117" s="58"/>
    </row>
    <row r="118" spans="2:3">
      <c r="B118" s="58"/>
      <c r="C118" s="58"/>
    </row>
    <row r="119" spans="2:3">
      <c r="B119" s="58"/>
      <c r="C119" s="58"/>
    </row>
    <row r="120" spans="2:3">
      <c r="B120" s="58"/>
      <c r="C120" s="58"/>
    </row>
    <row r="121" spans="2:3">
      <c r="B121" s="58"/>
      <c r="C121" s="58"/>
    </row>
    <row r="122" spans="2:3">
      <c r="B122" s="58"/>
      <c r="C122" s="58"/>
    </row>
    <row r="123" spans="2:3">
      <c r="B123" s="58"/>
      <c r="C123" s="58"/>
    </row>
    <row r="124" spans="2:3">
      <c r="B124" s="58"/>
      <c r="C124" s="58"/>
    </row>
    <row r="125" spans="2:3">
      <c r="B125" s="58"/>
      <c r="C125" s="58"/>
    </row>
    <row r="126" spans="2:3">
      <c r="B126" s="58"/>
      <c r="C126" s="58"/>
    </row>
    <row r="127" spans="2:3">
      <c r="B127" s="58"/>
      <c r="C127" s="58"/>
    </row>
    <row r="128" spans="2:3">
      <c r="B128" s="58"/>
      <c r="C128" s="58"/>
    </row>
  </sheetData>
  <mergeCells count="17">
    <mergeCell ref="A100:D100"/>
    <mergeCell ref="B52:C52"/>
    <mergeCell ref="A53:D53"/>
    <mergeCell ref="B66:C66"/>
    <mergeCell ref="A67:D67"/>
    <mergeCell ref="B79:C79"/>
    <mergeCell ref="A80:D80"/>
    <mergeCell ref="A90:D90"/>
    <mergeCell ref="F83:F84"/>
    <mergeCell ref="B36:C36"/>
    <mergeCell ref="A37:D37"/>
    <mergeCell ref="A49:E49"/>
    <mergeCell ref="A92:D92"/>
    <mergeCell ref="E83:E84"/>
    <mergeCell ref="A63:E63"/>
    <mergeCell ref="A77:E77"/>
    <mergeCell ref="A89:E89"/>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A742-DD0D-4ED5-813F-157822667B08}">
  <sheetPr codeName="Sheet14"/>
  <dimension ref="A1:I8"/>
  <sheetViews>
    <sheetView showGridLines="0" workbookViewId="0">
      <selection activeCell="I8" sqref="I8"/>
    </sheetView>
  </sheetViews>
  <sheetFormatPr defaultRowHeight="12.75"/>
  <cols>
    <col min="1" max="1" width="34.28515625" style="1" bestFit="1" customWidth="1"/>
    <col min="2" max="2" width="14.28515625" style="1" bestFit="1" customWidth="1"/>
    <col min="3" max="3" width="19.5703125" style="1" customWidth="1"/>
    <col min="4" max="4" width="11.5703125" style="1" customWidth="1"/>
    <col min="5" max="5" width="9.140625" style="1"/>
    <col min="6" max="6" width="34.28515625" style="1" bestFit="1" customWidth="1"/>
    <col min="7" max="7" width="14.28515625" style="1" bestFit="1" customWidth="1"/>
    <col min="8" max="8" width="18" style="1" bestFit="1" customWidth="1"/>
    <col min="9" max="9" width="15" style="1" customWidth="1"/>
    <col min="10" max="16384" width="9.140625" style="1"/>
  </cols>
  <sheetData>
    <row r="1" spans="1:9">
      <c r="A1" s="159" t="s">
        <v>90</v>
      </c>
      <c r="B1" s="237" t="s">
        <v>91</v>
      </c>
      <c r="C1" s="237" t="s">
        <v>109</v>
      </c>
      <c r="D1" s="160" t="s">
        <v>92</v>
      </c>
      <c r="F1" s="159" t="s">
        <v>90</v>
      </c>
      <c r="G1" s="237" t="s">
        <v>91</v>
      </c>
      <c r="H1" s="237" t="s">
        <v>109</v>
      </c>
      <c r="I1" s="160" t="s">
        <v>92</v>
      </c>
    </row>
    <row r="2" spans="1:9">
      <c r="A2" s="63" t="s">
        <v>93</v>
      </c>
      <c r="B2" s="58">
        <v>2</v>
      </c>
      <c r="C2" s="58">
        <v>35</v>
      </c>
      <c r="D2" s="235">
        <f t="shared" ref="D2:D7" si="0">B2*C2</f>
        <v>70</v>
      </c>
      <c r="F2" s="63" t="s">
        <v>93</v>
      </c>
      <c r="G2" s="58">
        <v>2</v>
      </c>
      <c r="H2" s="58">
        <v>35</v>
      </c>
      <c r="I2" s="235">
        <f t="shared" ref="I2:I7" si="1">G2*H2</f>
        <v>70</v>
      </c>
    </row>
    <row r="3" spans="1:9">
      <c r="A3" s="63" t="s">
        <v>94</v>
      </c>
      <c r="B3" s="58">
        <v>4</v>
      </c>
      <c r="C3" s="58">
        <v>25</v>
      </c>
      <c r="D3" s="235">
        <f t="shared" si="0"/>
        <v>100</v>
      </c>
      <c r="F3" s="63" t="s">
        <v>94</v>
      </c>
      <c r="G3" s="58">
        <v>4</v>
      </c>
      <c r="H3" s="58">
        <v>25</v>
      </c>
      <c r="I3" s="235">
        <f t="shared" si="1"/>
        <v>100</v>
      </c>
    </row>
    <row r="4" spans="1:9">
      <c r="A4" s="63" t="s">
        <v>95</v>
      </c>
      <c r="B4" s="58">
        <v>8</v>
      </c>
      <c r="C4" s="58">
        <v>20</v>
      </c>
      <c r="D4" s="235">
        <f t="shared" si="0"/>
        <v>160</v>
      </c>
      <c r="F4" s="63" t="s">
        <v>95</v>
      </c>
      <c r="G4" s="58">
        <v>9</v>
      </c>
      <c r="H4" s="58">
        <v>20</v>
      </c>
      <c r="I4" s="235">
        <f t="shared" si="1"/>
        <v>180</v>
      </c>
    </row>
    <row r="5" spans="1:9">
      <c r="A5" s="63" t="s">
        <v>96</v>
      </c>
      <c r="B5" s="58">
        <v>40</v>
      </c>
      <c r="C5" s="58">
        <v>8</v>
      </c>
      <c r="D5" s="235">
        <f t="shared" si="0"/>
        <v>320</v>
      </c>
      <c r="F5" s="63" t="s">
        <v>96</v>
      </c>
      <c r="G5" s="58">
        <v>50</v>
      </c>
      <c r="H5" s="58">
        <v>8</v>
      </c>
      <c r="I5" s="235">
        <f t="shared" si="1"/>
        <v>400</v>
      </c>
    </row>
    <row r="6" spans="1:9">
      <c r="A6" s="63" t="s">
        <v>97</v>
      </c>
      <c r="B6" s="58">
        <v>120</v>
      </c>
      <c r="C6" s="58">
        <v>6.8</v>
      </c>
      <c r="D6" s="235">
        <f t="shared" si="0"/>
        <v>816</v>
      </c>
      <c r="F6" s="63" t="s">
        <v>97</v>
      </c>
      <c r="G6" s="58">
        <v>135</v>
      </c>
      <c r="H6" s="58">
        <v>6.8</v>
      </c>
      <c r="I6" s="235">
        <f t="shared" si="1"/>
        <v>918</v>
      </c>
    </row>
    <row r="7" spans="1:9">
      <c r="A7" s="63" t="s">
        <v>98</v>
      </c>
      <c r="B7" s="58">
        <v>350</v>
      </c>
      <c r="C7" s="58">
        <v>3.5</v>
      </c>
      <c r="D7" s="235">
        <f t="shared" si="0"/>
        <v>1225</v>
      </c>
      <c r="F7" s="63" t="s">
        <v>98</v>
      </c>
      <c r="G7" s="58">
        <v>400</v>
      </c>
      <c r="H7" s="58">
        <v>3.5</v>
      </c>
      <c r="I7" s="235">
        <f t="shared" si="1"/>
        <v>1400</v>
      </c>
    </row>
    <row r="8" spans="1:9">
      <c r="A8" s="504" t="s">
        <v>110</v>
      </c>
      <c r="B8" s="502"/>
      <c r="C8" s="502"/>
      <c r="D8" s="503">
        <f>SUM(D2:D7)/100</f>
        <v>26.91</v>
      </c>
      <c r="E8" s="495"/>
      <c r="F8" s="504" t="s">
        <v>110</v>
      </c>
      <c r="G8" s="502"/>
      <c r="H8" s="502"/>
      <c r="I8" s="503">
        <f>SUM(I2:I7)/100</f>
        <v>30.68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0F7E-C505-47EF-9AA5-B9A2D15AF5F9}">
  <sheetPr codeName="Sheet29"/>
  <dimension ref="A1:L36"/>
  <sheetViews>
    <sheetView showGridLines="0" zoomScaleNormal="100" zoomScaleSheetLayoutView="100" workbookViewId="0">
      <selection activeCell="E5" sqref="E5:E12"/>
    </sheetView>
  </sheetViews>
  <sheetFormatPr defaultRowHeight="21" customHeight="1"/>
  <cols>
    <col min="1" max="1" width="46.140625" style="148" customWidth="1"/>
    <col min="2" max="11" width="10.7109375" style="148" customWidth="1"/>
    <col min="12" max="256" width="9.140625" style="148"/>
    <col min="257" max="257" width="35.7109375" style="148" customWidth="1"/>
    <col min="258" max="267" width="10.7109375" style="148" customWidth="1"/>
    <col min="268" max="512" width="9.140625" style="148"/>
    <col min="513" max="513" width="35.7109375" style="148" customWidth="1"/>
    <col min="514" max="523" width="10.7109375" style="148" customWidth="1"/>
    <col min="524" max="768" width="9.140625" style="148"/>
    <col min="769" max="769" width="35.7109375" style="148" customWidth="1"/>
    <col min="770" max="779" width="10.7109375" style="148" customWidth="1"/>
    <col min="780" max="1024" width="9.140625" style="148"/>
    <col min="1025" max="1025" width="35.7109375" style="148" customWidth="1"/>
    <col min="1026" max="1035" width="10.7109375" style="148" customWidth="1"/>
    <col min="1036" max="1280" width="9.140625" style="148"/>
    <col min="1281" max="1281" width="35.7109375" style="148" customWidth="1"/>
    <col min="1282" max="1291" width="10.7109375" style="148" customWidth="1"/>
    <col min="1292" max="1536" width="9.140625" style="148"/>
    <col min="1537" max="1537" width="35.7109375" style="148" customWidth="1"/>
    <col min="1538" max="1547" width="10.7109375" style="148" customWidth="1"/>
    <col min="1548" max="1792" width="9.140625" style="148"/>
    <col min="1793" max="1793" width="35.7109375" style="148" customWidth="1"/>
    <col min="1794" max="1803" width="10.7109375" style="148" customWidth="1"/>
    <col min="1804" max="2048" width="9.140625" style="148"/>
    <col min="2049" max="2049" width="35.7109375" style="148" customWidth="1"/>
    <col min="2050" max="2059" width="10.7109375" style="148" customWidth="1"/>
    <col min="2060" max="2304" width="9.140625" style="148"/>
    <col min="2305" max="2305" width="35.7109375" style="148" customWidth="1"/>
    <col min="2306" max="2315" width="10.7109375" style="148" customWidth="1"/>
    <col min="2316" max="2560" width="9.140625" style="148"/>
    <col min="2561" max="2561" width="35.7109375" style="148" customWidth="1"/>
    <col min="2562" max="2571" width="10.7109375" style="148" customWidth="1"/>
    <col min="2572" max="2816" width="9.140625" style="148"/>
    <col min="2817" max="2817" width="35.7109375" style="148" customWidth="1"/>
    <col min="2818" max="2827" width="10.7109375" style="148" customWidth="1"/>
    <col min="2828" max="3072" width="9.140625" style="148"/>
    <col min="3073" max="3073" width="35.7109375" style="148" customWidth="1"/>
    <col min="3074" max="3083" width="10.7109375" style="148" customWidth="1"/>
    <col min="3084" max="3328" width="9.140625" style="148"/>
    <col min="3329" max="3329" width="35.7109375" style="148" customWidth="1"/>
    <col min="3330" max="3339" width="10.7109375" style="148" customWidth="1"/>
    <col min="3340" max="3584" width="9.140625" style="148"/>
    <col min="3585" max="3585" width="35.7109375" style="148" customWidth="1"/>
    <col min="3586" max="3595" width="10.7109375" style="148" customWidth="1"/>
    <col min="3596" max="3840" width="9.140625" style="148"/>
    <col min="3841" max="3841" width="35.7109375" style="148" customWidth="1"/>
    <col min="3842" max="3851" width="10.7109375" style="148" customWidth="1"/>
    <col min="3852" max="4096" width="9.140625" style="148"/>
    <col min="4097" max="4097" width="35.7109375" style="148" customWidth="1"/>
    <col min="4098" max="4107" width="10.7109375" style="148" customWidth="1"/>
    <col min="4108" max="4352" width="9.140625" style="148"/>
    <col min="4353" max="4353" width="35.7109375" style="148" customWidth="1"/>
    <col min="4354" max="4363" width="10.7109375" style="148" customWidth="1"/>
    <col min="4364" max="4608" width="9.140625" style="148"/>
    <col min="4609" max="4609" width="35.7109375" style="148" customWidth="1"/>
    <col min="4610" max="4619" width="10.7109375" style="148" customWidth="1"/>
    <col min="4620" max="4864" width="9.140625" style="148"/>
    <col min="4865" max="4865" width="35.7109375" style="148" customWidth="1"/>
    <col min="4866" max="4875" width="10.7109375" style="148" customWidth="1"/>
    <col min="4876" max="5120" width="9.140625" style="148"/>
    <col min="5121" max="5121" width="35.7109375" style="148" customWidth="1"/>
    <col min="5122" max="5131" width="10.7109375" style="148" customWidth="1"/>
    <col min="5132" max="5376" width="9.140625" style="148"/>
    <col min="5377" max="5377" width="35.7109375" style="148" customWidth="1"/>
    <col min="5378" max="5387" width="10.7109375" style="148" customWidth="1"/>
    <col min="5388" max="5632" width="9.140625" style="148"/>
    <col min="5633" max="5633" width="35.7109375" style="148" customWidth="1"/>
    <col min="5634" max="5643" width="10.7109375" style="148" customWidth="1"/>
    <col min="5644" max="5888" width="9.140625" style="148"/>
    <col min="5889" max="5889" width="35.7109375" style="148" customWidth="1"/>
    <col min="5890" max="5899" width="10.7109375" style="148" customWidth="1"/>
    <col min="5900" max="6144" width="9.140625" style="148"/>
    <col min="6145" max="6145" width="35.7109375" style="148" customWidth="1"/>
    <col min="6146" max="6155" width="10.7109375" style="148" customWidth="1"/>
    <col min="6156" max="6400" width="9.140625" style="148"/>
    <col min="6401" max="6401" width="35.7109375" style="148" customWidth="1"/>
    <col min="6402" max="6411" width="10.7109375" style="148" customWidth="1"/>
    <col min="6412" max="6656" width="9.140625" style="148"/>
    <col min="6657" max="6657" width="35.7109375" style="148" customWidth="1"/>
    <col min="6658" max="6667" width="10.7109375" style="148" customWidth="1"/>
    <col min="6668" max="6912" width="9.140625" style="148"/>
    <col min="6913" max="6913" width="35.7109375" style="148" customWidth="1"/>
    <col min="6914" max="6923" width="10.7109375" style="148" customWidth="1"/>
    <col min="6924" max="7168" width="9.140625" style="148"/>
    <col min="7169" max="7169" width="35.7109375" style="148" customWidth="1"/>
    <col min="7170" max="7179" width="10.7109375" style="148" customWidth="1"/>
    <col min="7180" max="7424" width="9.140625" style="148"/>
    <col min="7425" max="7425" width="35.7109375" style="148" customWidth="1"/>
    <col min="7426" max="7435" width="10.7109375" style="148" customWidth="1"/>
    <col min="7436" max="7680" width="9.140625" style="148"/>
    <col min="7681" max="7681" width="35.7109375" style="148" customWidth="1"/>
    <col min="7682" max="7691" width="10.7109375" style="148" customWidth="1"/>
    <col min="7692" max="7936" width="9.140625" style="148"/>
    <col min="7937" max="7937" width="35.7109375" style="148" customWidth="1"/>
    <col min="7938" max="7947" width="10.7109375" style="148" customWidth="1"/>
    <col min="7948" max="8192" width="9.140625" style="148"/>
    <col min="8193" max="8193" width="35.7109375" style="148" customWidth="1"/>
    <col min="8194" max="8203" width="10.7109375" style="148" customWidth="1"/>
    <col min="8204" max="8448" width="9.140625" style="148"/>
    <col min="8449" max="8449" width="35.7109375" style="148" customWidth="1"/>
    <col min="8450" max="8459" width="10.7109375" style="148" customWidth="1"/>
    <col min="8460" max="8704" width="9.140625" style="148"/>
    <col min="8705" max="8705" width="35.7109375" style="148" customWidth="1"/>
    <col min="8706" max="8715" width="10.7109375" style="148" customWidth="1"/>
    <col min="8716" max="8960" width="9.140625" style="148"/>
    <col min="8961" max="8961" width="35.7109375" style="148" customWidth="1"/>
    <col min="8962" max="8971" width="10.7109375" style="148" customWidth="1"/>
    <col min="8972" max="9216" width="9.140625" style="148"/>
    <col min="9217" max="9217" width="35.7109375" style="148" customWidth="1"/>
    <col min="9218" max="9227" width="10.7109375" style="148" customWidth="1"/>
    <col min="9228" max="9472" width="9.140625" style="148"/>
    <col min="9473" max="9473" width="35.7109375" style="148" customWidth="1"/>
    <col min="9474" max="9483" width="10.7109375" style="148" customWidth="1"/>
    <col min="9484" max="9728" width="9.140625" style="148"/>
    <col min="9729" max="9729" width="35.7109375" style="148" customWidth="1"/>
    <col min="9730" max="9739" width="10.7109375" style="148" customWidth="1"/>
    <col min="9740" max="9984" width="9.140625" style="148"/>
    <col min="9985" max="9985" width="35.7109375" style="148" customWidth="1"/>
    <col min="9986" max="9995" width="10.7109375" style="148" customWidth="1"/>
    <col min="9996" max="10240" width="9.140625" style="148"/>
    <col min="10241" max="10241" width="35.7109375" style="148" customWidth="1"/>
    <col min="10242" max="10251" width="10.7109375" style="148" customWidth="1"/>
    <col min="10252" max="10496" width="9.140625" style="148"/>
    <col min="10497" max="10497" width="35.7109375" style="148" customWidth="1"/>
    <col min="10498" max="10507" width="10.7109375" style="148" customWidth="1"/>
    <col min="10508" max="10752" width="9.140625" style="148"/>
    <col min="10753" max="10753" width="35.7109375" style="148" customWidth="1"/>
    <col min="10754" max="10763" width="10.7109375" style="148" customWidth="1"/>
    <col min="10764" max="11008" width="9.140625" style="148"/>
    <col min="11009" max="11009" width="35.7109375" style="148" customWidth="1"/>
    <col min="11010" max="11019" width="10.7109375" style="148" customWidth="1"/>
    <col min="11020" max="11264" width="9.140625" style="148"/>
    <col min="11265" max="11265" width="35.7109375" style="148" customWidth="1"/>
    <col min="11266" max="11275" width="10.7109375" style="148" customWidth="1"/>
    <col min="11276" max="11520" width="9.140625" style="148"/>
    <col min="11521" max="11521" width="35.7109375" style="148" customWidth="1"/>
    <col min="11522" max="11531" width="10.7109375" style="148" customWidth="1"/>
    <col min="11532" max="11776" width="9.140625" style="148"/>
    <col min="11777" max="11777" width="35.7109375" style="148" customWidth="1"/>
    <col min="11778" max="11787" width="10.7109375" style="148" customWidth="1"/>
    <col min="11788" max="12032" width="9.140625" style="148"/>
    <col min="12033" max="12033" width="35.7109375" style="148" customWidth="1"/>
    <col min="12034" max="12043" width="10.7109375" style="148" customWidth="1"/>
    <col min="12044" max="12288" width="9.140625" style="148"/>
    <col min="12289" max="12289" width="35.7109375" style="148" customWidth="1"/>
    <col min="12290" max="12299" width="10.7109375" style="148" customWidth="1"/>
    <col min="12300" max="12544" width="9.140625" style="148"/>
    <col min="12545" max="12545" width="35.7109375" style="148" customWidth="1"/>
    <col min="12546" max="12555" width="10.7109375" style="148" customWidth="1"/>
    <col min="12556" max="12800" width="9.140625" style="148"/>
    <col min="12801" max="12801" width="35.7109375" style="148" customWidth="1"/>
    <col min="12802" max="12811" width="10.7109375" style="148" customWidth="1"/>
    <col min="12812" max="13056" width="9.140625" style="148"/>
    <col min="13057" max="13057" width="35.7109375" style="148" customWidth="1"/>
    <col min="13058" max="13067" width="10.7109375" style="148" customWidth="1"/>
    <col min="13068" max="13312" width="9.140625" style="148"/>
    <col min="13313" max="13313" width="35.7109375" style="148" customWidth="1"/>
    <col min="13314" max="13323" width="10.7109375" style="148" customWidth="1"/>
    <col min="13324" max="13568" width="9.140625" style="148"/>
    <col min="13569" max="13569" width="35.7109375" style="148" customWidth="1"/>
    <col min="13570" max="13579" width="10.7109375" style="148" customWidth="1"/>
    <col min="13580" max="13824" width="9.140625" style="148"/>
    <col min="13825" max="13825" width="35.7109375" style="148" customWidth="1"/>
    <col min="13826" max="13835" width="10.7109375" style="148" customWidth="1"/>
    <col min="13836" max="14080" width="9.140625" style="148"/>
    <col min="14081" max="14081" width="35.7109375" style="148" customWidth="1"/>
    <col min="14082" max="14091" width="10.7109375" style="148" customWidth="1"/>
    <col min="14092" max="14336" width="9.140625" style="148"/>
    <col min="14337" max="14337" width="35.7109375" style="148" customWidth="1"/>
    <col min="14338" max="14347" width="10.7109375" style="148" customWidth="1"/>
    <col min="14348" max="14592" width="9.140625" style="148"/>
    <col min="14593" max="14593" width="35.7109375" style="148" customWidth="1"/>
    <col min="14594" max="14603" width="10.7109375" style="148" customWidth="1"/>
    <col min="14604" max="14848" width="9.140625" style="148"/>
    <col min="14849" max="14849" width="35.7109375" style="148" customWidth="1"/>
    <col min="14850" max="14859" width="10.7109375" style="148" customWidth="1"/>
    <col min="14860" max="15104" width="9.140625" style="148"/>
    <col min="15105" max="15105" width="35.7109375" style="148" customWidth="1"/>
    <col min="15106" max="15115" width="10.7109375" style="148" customWidth="1"/>
    <col min="15116" max="15360" width="9.140625" style="148"/>
    <col min="15361" max="15361" width="35.7109375" style="148" customWidth="1"/>
    <col min="15362" max="15371" width="10.7109375" style="148" customWidth="1"/>
    <col min="15372" max="15616" width="9.140625" style="148"/>
    <col min="15617" max="15617" width="35.7109375" style="148" customWidth="1"/>
    <col min="15618" max="15627" width="10.7109375" style="148" customWidth="1"/>
    <col min="15628" max="15872" width="9.140625" style="148"/>
    <col min="15873" max="15873" width="35.7109375" style="148" customWidth="1"/>
    <col min="15874" max="15883" width="10.7109375" style="148" customWidth="1"/>
    <col min="15884" max="16128" width="9.140625" style="148"/>
    <col min="16129" max="16129" width="35.7109375" style="148" customWidth="1"/>
    <col min="16130" max="16139" width="10.7109375" style="148" customWidth="1"/>
    <col min="16140" max="16384" width="9.140625" style="148"/>
  </cols>
  <sheetData>
    <row r="1" spans="1:12" ht="21" customHeight="1">
      <c r="A1" s="1105" t="s">
        <v>450</v>
      </c>
      <c r="B1" s="1106"/>
      <c r="C1" s="1106"/>
      <c r="D1" s="1106"/>
      <c r="E1" s="1106"/>
      <c r="F1" s="1106"/>
      <c r="G1" s="1106"/>
      <c r="H1" s="1106"/>
      <c r="I1" s="1106"/>
      <c r="J1" s="1106"/>
      <c r="K1" s="1107"/>
    </row>
    <row r="2" spans="1:12" ht="21" customHeight="1">
      <c r="A2" s="505" t="s">
        <v>257</v>
      </c>
      <c r="B2" s="506">
        <v>0.7</v>
      </c>
      <c r="C2" s="506">
        <v>0.9</v>
      </c>
      <c r="D2" s="506">
        <v>1</v>
      </c>
      <c r="E2" s="506">
        <v>1</v>
      </c>
      <c r="F2" s="506">
        <v>1</v>
      </c>
      <c r="G2" s="506">
        <v>1</v>
      </c>
      <c r="H2" s="506">
        <v>1</v>
      </c>
      <c r="I2" s="506">
        <v>1</v>
      </c>
      <c r="J2" s="506">
        <v>1</v>
      </c>
      <c r="K2" s="507">
        <v>1</v>
      </c>
    </row>
    <row r="3" spans="1:12" ht="18.75" customHeight="1">
      <c r="A3" s="1108" t="s">
        <v>258</v>
      </c>
      <c r="B3" s="1109"/>
      <c r="C3" s="1109"/>
      <c r="D3" s="1109"/>
      <c r="E3" s="1109"/>
      <c r="F3" s="1109"/>
      <c r="G3" s="1109"/>
      <c r="H3" s="1109"/>
      <c r="I3" s="1109"/>
      <c r="J3" s="1109"/>
      <c r="K3" s="1110"/>
      <c r="L3" s="134"/>
    </row>
    <row r="4" spans="1:12" ht="21" customHeight="1">
      <c r="A4" s="505"/>
      <c r="B4" s="134" t="s">
        <v>259</v>
      </c>
      <c r="C4" s="134" t="s">
        <v>260</v>
      </c>
      <c r="D4" s="134" t="s">
        <v>261</v>
      </c>
      <c r="E4" s="134" t="s">
        <v>262</v>
      </c>
      <c r="F4" s="134" t="s">
        <v>263</v>
      </c>
      <c r="G4" s="134" t="s">
        <v>264</v>
      </c>
      <c r="H4" s="134" t="s">
        <v>265</v>
      </c>
      <c r="I4" s="134" t="s">
        <v>266</v>
      </c>
      <c r="J4" s="134" t="s">
        <v>267</v>
      </c>
      <c r="K4" s="508" t="s">
        <v>268</v>
      </c>
      <c r="L4" s="134"/>
    </row>
    <row r="5" spans="1:12" s="135" customFormat="1" ht="21" customHeight="1">
      <c r="A5" s="505" t="s">
        <v>298</v>
      </c>
      <c r="B5" s="146">
        <f>'Cashflow 350 KTPA'!H11</f>
        <v>1831.362974583333</v>
      </c>
      <c r="C5" s="146">
        <f>'Cashflow 350 KTPA'!I11</f>
        <v>2490.0937716096746</v>
      </c>
      <c r="D5" s="146">
        <f>'Cashflow 350 KTPA'!J11</f>
        <v>2925.9708524756611</v>
      </c>
      <c r="E5" s="146">
        <f>'Cashflow 350 KTPA'!K11</f>
        <v>3094.3312153271104</v>
      </c>
      <c r="F5" s="146">
        <f>'Cashflow 350 KTPA'!L11</f>
        <v>3272.3790334570317</v>
      </c>
      <c r="G5" s="146">
        <f>'Cashflow 350 KTPA'!M11</f>
        <v>3460.6717230421491</v>
      </c>
      <c r="H5" s="146">
        <f>'Cashflow 350 KTPA'!N11</f>
        <v>3659.7987739859932</v>
      </c>
      <c r="I5" s="146">
        <f>'Cashflow 350 KTPA'!O11</f>
        <v>3870.3835954411475</v>
      </c>
      <c r="J5" s="146">
        <f>'Cashflow 350 KTPA'!P11</f>
        <v>4093.0854675228293</v>
      </c>
      <c r="K5" s="527">
        <f>'Cashflow 350 KTPA'!Q11</f>
        <v>4328.6016053240928</v>
      </c>
      <c r="L5" s="134"/>
    </row>
    <row r="6" spans="1:12" s="135" customFormat="1" ht="21" customHeight="1">
      <c r="A6" s="505" t="s">
        <v>441</v>
      </c>
      <c r="B6" s="146">
        <f>SUM(B7:B12)</f>
        <v>941.48710970308241</v>
      </c>
      <c r="C6" s="146">
        <f t="shared" ref="C6:K6" si="0">SUM(C7:C12)</f>
        <v>1177.8316927807521</v>
      </c>
      <c r="D6" s="146">
        <f t="shared" si="0"/>
        <v>1342.3427679217455</v>
      </c>
      <c r="E6" s="146">
        <f t="shared" si="0"/>
        <v>1417.76793992131</v>
      </c>
      <c r="F6" s="146">
        <f t="shared" si="0"/>
        <v>1494.9614335173173</v>
      </c>
      <c r="G6" s="146">
        <f t="shared" si="0"/>
        <v>1577.6415067988112</v>
      </c>
      <c r="H6" s="146">
        <f t="shared" si="0"/>
        <v>1664.6290009783274</v>
      </c>
      <c r="I6" s="146">
        <f t="shared" si="0"/>
        <v>1756.925048994093</v>
      </c>
      <c r="J6" s="146">
        <f t="shared" si="0"/>
        <v>1856.2084819811791</v>
      </c>
      <c r="K6" s="527">
        <f t="shared" si="0"/>
        <v>1955.306856789485</v>
      </c>
      <c r="L6" s="134"/>
    </row>
    <row r="7" spans="1:12" s="135" customFormat="1" ht="21" customHeight="1">
      <c r="A7" s="52" t="s">
        <v>28</v>
      </c>
      <c r="B7" s="146">
        <f>'Cashflow 350 KTPA'!H14</f>
        <v>538.74784014662771</v>
      </c>
      <c r="C7" s="146">
        <f>'Cashflow 350 KTPA'!I14</f>
        <v>734.05243671925689</v>
      </c>
      <c r="D7" s="146">
        <f>'Cashflow 350 KTPA'!J14</f>
        <v>865.44211359527367</v>
      </c>
      <c r="E7" s="146">
        <f>'Cashflow 350 KTPA'!K14</f>
        <v>917.68149773505479</v>
      </c>
      <c r="F7" s="146">
        <f>'Cashflow 350 KTPA'!L14</f>
        <v>970.5807888312429</v>
      </c>
      <c r="G7" s="146">
        <f>'Cashflow 350 KTPA'!M14</f>
        <v>1027.8479671146526</v>
      </c>
      <c r="H7" s="146">
        <f>'Cashflow 350 KTPA'!N14</f>
        <v>1088.171850380628</v>
      </c>
      <c r="I7" s="146">
        <f>'Cashflow 350 KTPA'!O14</f>
        <v>1152.4909680270009</v>
      </c>
      <c r="J7" s="146">
        <f>'Cashflow 350 KTPA'!P14</f>
        <v>1222.4183575120389</v>
      </c>
      <c r="K7" s="527">
        <f>'Cashflow 350 KTPA'!Q14</f>
        <v>1290.7124263095213</v>
      </c>
      <c r="L7" s="134"/>
    </row>
    <row r="8" spans="1:12" s="135" customFormat="1" ht="21" customHeight="1">
      <c r="A8" s="52" t="s">
        <v>325</v>
      </c>
      <c r="B8" s="146">
        <f>'Cashflow 350 KTPA'!H15</f>
        <v>71.75</v>
      </c>
      <c r="C8" s="146">
        <f>'Cashflow 350 KTPA'!I15</f>
        <v>97.895469375000005</v>
      </c>
      <c r="D8" s="146">
        <f>'Cashflow 350 KTPA'!J15</f>
        <v>115.45209723908435</v>
      </c>
      <c r="E8" s="146">
        <f>'Cashflow 350 KTPA'!K15</f>
        <v>122.37270002993542</v>
      </c>
      <c r="F8" s="146">
        <f>'Cashflow 350 KTPA'!L15</f>
        <v>129.66978413272042</v>
      </c>
      <c r="G8" s="146">
        <f>'Cashflow 350 KTPA'!M15</f>
        <v>137.32069040590332</v>
      </c>
      <c r="H8" s="146">
        <f>'Cashflow 350 KTPA'!N15</f>
        <v>145.42302310192281</v>
      </c>
      <c r="I8" s="146">
        <f>'Cashflow 350 KTPA'!O15</f>
        <v>154.00341773400555</v>
      </c>
      <c r="J8" s="146">
        <f>'Cashflow 350 KTPA'!P15</f>
        <v>163.09008139056505</v>
      </c>
      <c r="K8" s="527">
        <f>'Cashflow 350 KTPA'!Q15</f>
        <v>172.71288546285257</v>
      </c>
      <c r="L8" s="134"/>
    </row>
    <row r="9" spans="1:12" s="135" customFormat="1" ht="21" customHeight="1">
      <c r="A9" s="52" t="s">
        <v>29</v>
      </c>
      <c r="B9" s="146">
        <f>'Cashflow 350 KTPA'!H16</f>
        <v>26.91</v>
      </c>
      <c r="C9" s="146">
        <f>'Cashflow 350 KTPA'!I16</f>
        <v>28.120949999999997</v>
      </c>
      <c r="D9" s="146">
        <f>'Cashflow 350 KTPA'!J16</f>
        <v>29.386392749999995</v>
      </c>
      <c r="E9" s="146">
        <f>'Cashflow 350 KTPA'!K16</f>
        <v>30.708780423749996</v>
      </c>
      <c r="F9" s="146">
        <f>'Cashflow 350 KTPA'!L16</f>
        <v>32.090675542818737</v>
      </c>
      <c r="G9" s="146">
        <f>'Cashflow 350 KTPA'!M16</f>
        <v>33.534755942245582</v>
      </c>
      <c r="H9" s="146">
        <f>'Cashflow 350 KTPA'!N16</f>
        <v>35.043819959646619</v>
      </c>
      <c r="I9" s="146">
        <f>'Cashflow 350 KTPA'!O16</f>
        <v>36.620791857830724</v>
      </c>
      <c r="J9" s="146">
        <f>'Cashflow 350 KTPA'!P16</f>
        <v>38.26872749143309</v>
      </c>
      <c r="K9" s="527">
        <f>'Cashflow 350 KTPA'!Q16</f>
        <v>39.990820228547577</v>
      </c>
      <c r="L9" s="134"/>
    </row>
    <row r="10" spans="1:12" s="135" customFormat="1" ht="21" customHeight="1">
      <c r="A10" s="52" t="s">
        <v>17</v>
      </c>
      <c r="B10" s="146">
        <f>'Cashflow 350 KTPA'!H17</f>
        <v>157.19999999999999</v>
      </c>
      <c r="C10" s="146">
        <f>'Cashflow 350 KTPA'!I17</f>
        <v>164.27399999999997</v>
      </c>
      <c r="D10" s="146">
        <f>'Cashflow 350 KTPA'!J17</f>
        <v>171.66632999999996</v>
      </c>
      <c r="E10" s="146">
        <f>'Cashflow 350 KTPA'!K17</f>
        <v>179.39131484999996</v>
      </c>
      <c r="F10" s="146">
        <f>'Cashflow 350 KTPA'!L17</f>
        <v>187.46392401824991</v>
      </c>
      <c r="G10" s="146">
        <f>'Cashflow 350 KTPA'!M17</f>
        <v>195.89980059907114</v>
      </c>
      <c r="H10" s="146">
        <f>'Cashflow 350 KTPA'!N17</f>
        <v>204.71529162602931</v>
      </c>
      <c r="I10" s="146">
        <f>'Cashflow 350 KTPA'!O17</f>
        <v>213.92747974920064</v>
      </c>
      <c r="J10" s="146">
        <f>'Cashflow 350 KTPA'!P17</f>
        <v>223.5542163379146</v>
      </c>
      <c r="K10" s="527">
        <f>'Cashflow 350 KTPA'!Q17</f>
        <v>233.61415607312074</v>
      </c>
      <c r="L10" s="134"/>
    </row>
    <row r="11" spans="1:12" s="135" customFormat="1" ht="21" customHeight="1">
      <c r="A11" s="52" t="s">
        <v>20</v>
      </c>
      <c r="B11" s="146">
        <f>'Cashflow 350 KTPA'!H18</f>
        <v>69.089377505903997</v>
      </c>
      <c r="C11" s="146">
        <f>'Cashflow 350 KTPA'!I18</f>
        <v>72.198399493669669</v>
      </c>
      <c r="D11" s="146">
        <f>'Cashflow 350 KTPA'!J18</f>
        <v>75.447327470884801</v>
      </c>
      <c r="E11" s="146">
        <f>'Cashflow 350 KTPA'!K18</f>
        <v>78.842457207074617</v>
      </c>
      <c r="F11" s="146">
        <f>'Cashflow 350 KTPA'!L18</f>
        <v>82.390367781392953</v>
      </c>
      <c r="G11" s="146">
        <f>'Cashflow 350 KTPA'!M18</f>
        <v>86.097934331555635</v>
      </c>
      <c r="H11" s="146">
        <f>'Cashflow 350 KTPA'!N18</f>
        <v>89.972341376475612</v>
      </c>
      <c r="I11" s="146">
        <f>'Cashflow 350 KTPA'!O18</f>
        <v>94.021096738417029</v>
      </c>
      <c r="J11" s="146">
        <f>'Cashflow 350 KTPA'!P18</f>
        <v>98.252046091645767</v>
      </c>
      <c r="K11" s="527">
        <f>'Cashflow 350 KTPA'!Q18</f>
        <v>102.67338816576981</v>
      </c>
      <c r="L11" s="134"/>
    </row>
    <row r="12" spans="1:12" s="135" customFormat="1" ht="21" customHeight="1">
      <c r="A12" s="52" t="s">
        <v>21</v>
      </c>
      <c r="B12" s="146">
        <f>'Cashflow 350 KTPA'!H19</f>
        <v>77.789892050550776</v>
      </c>
      <c r="C12" s="146">
        <f>'Cashflow 350 KTPA'!I19</f>
        <v>81.29043719282555</v>
      </c>
      <c r="D12" s="146">
        <f>'Cashflow 350 KTPA'!J19</f>
        <v>84.948506866502697</v>
      </c>
      <c r="E12" s="146">
        <f>'Cashflow 350 KTPA'!K19</f>
        <v>88.771189675495322</v>
      </c>
      <c r="F12" s="146">
        <f>'Cashflow 350 KTPA'!L19</f>
        <v>92.765893210892585</v>
      </c>
      <c r="G12" s="146">
        <f>'Cashflow 350 KTPA'!M19</f>
        <v>96.940358405382753</v>
      </c>
      <c r="H12" s="146">
        <f>'Cashflow 350 KTPA'!N19</f>
        <v>101.30267453362495</v>
      </c>
      <c r="I12" s="146">
        <f>'Cashflow 350 KTPA'!O19</f>
        <v>105.86129488763808</v>
      </c>
      <c r="J12" s="146">
        <f>'Cashflow 350 KTPA'!P19</f>
        <v>110.62505315758176</v>
      </c>
      <c r="K12" s="527">
        <f>'Cashflow 350 KTPA'!Q19</f>
        <v>115.60318054967293</v>
      </c>
      <c r="L12" s="134"/>
    </row>
    <row r="13" spans="1:12" ht="21" customHeight="1">
      <c r="A13" s="505" t="s">
        <v>442</v>
      </c>
      <c r="B13" s="146">
        <f t="shared" ref="B13:K13" si="1">B5-B6</f>
        <v>889.87586488025056</v>
      </c>
      <c r="C13" s="146">
        <f t="shared" si="1"/>
        <v>1312.2620788289225</v>
      </c>
      <c r="D13" s="146">
        <f t="shared" si="1"/>
        <v>1583.6280845539156</v>
      </c>
      <c r="E13" s="146">
        <f t="shared" si="1"/>
        <v>1676.5632754058004</v>
      </c>
      <c r="F13" s="146">
        <f t="shared" si="1"/>
        <v>1777.4175999397144</v>
      </c>
      <c r="G13" s="146">
        <f t="shared" si="1"/>
        <v>1883.0302162433379</v>
      </c>
      <c r="H13" s="146">
        <f t="shared" si="1"/>
        <v>1995.1697730076658</v>
      </c>
      <c r="I13" s="146">
        <f t="shared" si="1"/>
        <v>2113.4585464470547</v>
      </c>
      <c r="J13" s="146">
        <f t="shared" si="1"/>
        <v>2236.8769855416504</v>
      </c>
      <c r="K13" s="527">
        <f t="shared" si="1"/>
        <v>2373.2947485346076</v>
      </c>
      <c r="L13" s="147"/>
    </row>
    <row r="14" spans="1:12" s="135" customFormat="1" ht="21" customHeight="1">
      <c r="A14" s="505" t="s">
        <v>448</v>
      </c>
      <c r="B14" s="146">
        <f>'Cashflow 350 KTPA'!$G$8/10</f>
        <v>415.94497678079995</v>
      </c>
      <c r="C14" s="146">
        <f>'Cashflow 350 KTPA'!$G$8/10</f>
        <v>415.94497678079995</v>
      </c>
      <c r="D14" s="146">
        <f>'Cashflow 350 KTPA'!$G$8/10</f>
        <v>415.94497678079995</v>
      </c>
      <c r="E14" s="146">
        <f>'Cashflow 350 KTPA'!$G$8/10</f>
        <v>415.94497678079995</v>
      </c>
      <c r="F14" s="146">
        <f>'Cashflow 350 KTPA'!$G$8/10</f>
        <v>415.94497678079995</v>
      </c>
      <c r="G14" s="146">
        <f>'Cashflow 350 KTPA'!$G$8/10</f>
        <v>415.94497678079995</v>
      </c>
      <c r="H14" s="146">
        <f>'Cashflow 350 KTPA'!$G$8/10</f>
        <v>415.94497678079995</v>
      </c>
      <c r="I14" s="146">
        <f>'Cashflow 350 KTPA'!$G$8/10</f>
        <v>415.94497678079995</v>
      </c>
      <c r="J14" s="146">
        <f>'Cashflow 350 KTPA'!$G$8/10</f>
        <v>415.94497678079995</v>
      </c>
      <c r="K14" s="527">
        <f>'Cashflow 350 KTPA'!$G$8/10</f>
        <v>415.94497678079995</v>
      </c>
      <c r="L14" s="134"/>
    </row>
    <row r="15" spans="1:12" s="135" customFormat="1" ht="21" customHeight="1">
      <c r="A15" s="505" t="s">
        <v>449</v>
      </c>
      <c r="B15" s="146">
        <f>B13-B14</f>
        <v>473.93088809945061</v>
      </c>
      <c r="C15" s="146">
        <f t="shared" ref="C15:K15" si="2">C13-C14</f>
        <v>896.31710204812259</v>
      </c>
      <c r="D15" s="146">
        <f t="shared" si="2"/>
        <v>1167.6831077731158</v>
      </c>
      <c r="E15" s="146">
        <f t="shared" si="2"/>
        <v>1260.6182986250005</v>
      </c>
      <c r="F15" s="146">
        <f t="shared" si="2"/>
        <v>1361.4726231589143</v>
      </c>
      <c r="G15" s="146">
        <f t="shared" si="2"/>
        <v>1467.0852394625381</v>
      </c>
      <c r="H15" s="146">
        <f t="shared" si="2"/>
        <v>1579.2247962268657</v>
      </c>
      <c r="I15" s="146">
        <f t="shared" si="2"/>
        <v>1697.5135696662546</v>
      </c>
      <c r="J15" s="146">
        <f t="shared" si="2"/>
        <v>1820.9320087608503</v>
      </c>
      <c r="K15" s="527">
        <f t="shared" si="2"/>
        <v>1957.3497717538075</v>
      </c>
      <c r="L15" s="134"/>
    </row>
    <row r="16" spans="1:12" s="135" customFormat="1" ht="21" customHeight="1">
      <c r="A16" s="505" t="s">
        <v>269</v>
      </c>
      <c r="B16" s="146">
        <f>B15*0.2517</f>
        <v>119.28840453463171</v>
      </c>
      <c r="C16" s="146">
        <f t="shared" ref="C16:K16" si="3">C15*0.2517</f>
        <v>225.60301458551243</v>
      </c>
      <c r="D16" s="146">
        <f t="shared" si="3"/>
        <v>293.90583822649324</v>
      </c>
      <c r="E16" s="146">
        <f t="shared" si="3"/>
        <v>317.29762576391261</v>
      </c>
      <c r="F16" s="146">
        <f t="shared" si="3"/>
        <v>342.68265924909872</v>
      </c>
      <c r="G16" s="146">
        <f t="shared" si="3"/>
        <v>369.2653547727208</v>
      </c>
      <c r="H16" s="146">
        <f t="shared" si="3"/>
        <v>397.49088121030206</v>
      </c>
      <c r="I16" s="146">
        <f t="shared" si="3"/>
        <v>427.26416548499623</v>
      </c>
      <c r="J16" s="146">
        <f t="shared" si="3"/>
        <v>458.32858660510595</v>
      </c>
      <c r="K16" s="527">
        <f t="shared" si="3"/>
        <v>492.66493755043331</v>
      </c>
      <c r="L16" s="134"/>
    </row>
    <row r="17" spans="1:12" s="135" customFormat="1" ht="21" customHeight="1">
      <c r="A17" s="509" t="s">
        <v>270</v>
      </c>
      <c r="B17" s="528">
        <f>B15-B16</f>
        <v>354.64248356481892</v>
      </c>
      <c r="C17" s="528">
        <f t="shared" ref="C17:K17" si="4">C15-C16</f>
        <v>670.71408746261022</v>
      </c>
      <c r="D17" s="528">
        <f t="shared" si="4"/>
        <v>873.77726954662262</v>
      </c>
      <c r="E17" s="528">
        <f t="shared" si="4"/>
        <v>943.32067286108793</v>
      </c>
      <c r="F17" s="528">
        <f t="shared" si="4"/>
        <v>1018.7899639098156</v>
      </c>
      <c r="G17" s="528">
        <f t="shared" si="4"/>
        <v>1097.8198846898172</v>
      </c>
      <c r="H17" s="528">
        <f t="shared" si="4"/>
        <v>1181.7339150165635</v>
      </c>
      <c r="I17" s="528">
        <f t="shared" si="4"/>
        <v>1270.2494041812583</v>
      </c>
      <c r="J17" s="528">
        <f t="shared" si="4"/>
        <v>1362.6034221557443</v>
      </c>
      <c r="K17" s="529">
        <f t="shared" si="4"/>
        <v>1464.6848342033743</v>
      </c>
      <c r="L17" s="134"/>
    </row>
    <row r="18" spans="1:12" ht="21" customHeight="1">
      <c r="A18" s="147"/>
      <c r="B18" s="146"/>
      <c r="C18" s="147"/>
      <c r="D18" s="149"/>
      <c r="E18" s="149"/>
      <c r="F18" s="149"/>
      <c r="G18" s="149"/>
      <c r="H18" s="149"/>
      <c r="I18" s="149"/>
      <c r="J18" s="149"/>
      <c r="K18" s="149"/>
    </row>
    <row r="19" spans="1:12" ht="21" customHeight="1">
      <c r="A19" s="147"/>
      <c r="B19" s="147"/>
      <c r="C19" s="147"/>
      <c r="D19" s="149"/>
      <c r="E19" s="149"/>
      <c r="F19" s="149"/>
      <c r="G19" s="149"/>
      <c r="H19" s="149"/>
      <c r="I19" s="149"/>
      <c r="J19" s="149"/>
      <c r="K19" s="149"/>
    </row>
    <row r="20" spans="1:12" ht="21" customHeight="1">
      <c r="A20" s="147"/>
      <c r="B20" s="147"/>
      <c r="C20" s="147"/>
      <c r="D20" s="149"/>
      <c r="E20" s="149"/>
      <c r="F20" s="149"/>
      <c r="G20" s="149"/>
      <c r="H20" s="149"/>
      <c r="I20" s="149"/>
      <c r="J20" s="149"/>
      <c r="K20" s="149"/>
    </row>
    <row r="21" spans="1:12" ht="21" customHeight="1">
      <c r="A21" s="147"/>
      <c r="B21" s="147"/>
      <c r="C21" s="147"/>
      <c r="D21" s="149"/>
      <c r="E21" s="149"/>
      <c r="F21" s="149"/>
      <c r="G21" s="149"/>
      <c r="H21" s="149"/>
      <c r="I21" s="149"/>
      <c r="J21" s="149"/>
      <c r="K21" s="149"/>
    </row>
    <row r="22" spans="1:12" ht="21" customHeight="1">
      <c r="A22" s="147"/>
      <c r="B22" s="147"/>
      <c r="C22" s="147"/>
      <c r="D22" s="149"/>
      <c r="E22" s="149"/>
      <c r="F22" s="149"/>
      <c r="G22" s="149"/>
      <c r="H22" s="149"/>
      <c r="I22" s="149"/>
      <c r="J22" s="149"/>
      <c r="K22" s="149"/>
    </row>
    <row r="23" spans="1:12" ht="21" customHeight="1">
      <c r="A23" s="147"/>
      <c r="B23" s="147"/>
      <c r="C23" s="147"/>
      <c r="D23" s="149"/>
      <c r="E23" s="149"/>
      <c r="F23" s="149"/>
      <c r="G23" s="149"/>
      <c r="H23" s="149"/>
      <c r="I23" s="149"/>
      <c r="J23" s="149"/>
      <c r="K23" s="149"/>
    </row>
    <row r="24" spans="1:12" ht="21" customHeight="1">
      <c r="A24" s="147"/>
      <c r="B24" s="147"/>
      <c r="C24" s="147"/>
      <c r="D24" s="149"/>
      <c r="E24" s="149"/>
      <c r="F24" s="149"/>
      <c r="G24" s="149"/>
      <c r="H24" s="149"/>
      <c r="I24" s="149"/>
      <c r="J24" s="149"/>
      <c r="K24" s="149"/>
    </row>
    <row r="25" spans="1:12" ht="21" customHeight="1">
      <c r="A25" s="147"/>
      <c r="B25" s="147"/>
      <c r="C25" s="147"/>
      <c r="D25" s="149"/>
      <c r="E25" s="149"/>
      <c r="F25" s="149"/>
      <c r="G25" s="149"/>
      <c r="H25" s="149"/>
      <c r="I25" s="149"/>
      <c r="J25" s="149"/>
      <c r="K25" s="149"/>
    </row>
    <row r="26" spans="1:12" ht="21" customHeight="1">
      <c r="A26" s="147"/>
      <c r="B26" s="147"/>
      <c r="C26" s="147"/>
      <c r="D26" s="149"/>
      <c r="E26" s="149"/>
      <c r="F26" s="149"/>
      <c r="G26" s="149"/>
      <c r="H26" s="149"/>
      <c r="I26" s="149"/>
      <c r="J26" s="149"/>
      <c r="K26" s="149"/>
    </row>
    <row r="27" spans="1:12" ht="21" customHeight="1">
      <c r="A27" s="147"/>
      <c r="B27" s="147"/>
      <c r="C27" s="147"/>
      <c r="D27" s="149"/>
      <c r="E27" s="149"/>
      <c r="F27" s="149"/>
      <c r="G27" s="149"/>
      <c r="H27" s="149"/>
      <c r="I27" s="149"/>
      <c r="J27" s="149"/>
      <c r="K27" s="149"/>
    </row>
    <row r="28" spans="1:12" ht="21" customHeight="1">
      <c r="A28" s="147" t="s">
        <v>271</v>
      </c>
      <c r="B28" s="147"/>
      <c r="C28" s="147"/>
      <c r="D28" s="149"/>
      <c r="E28" s="149"/>
      <c r="F28" s="149"/>
      <c r="G28" s="149"/>
      <c r="H28" s="149"/>
      <c r="I28" s="149"/>
      <c r="J28" s="149"/>
      <c r="K28" s="149"/>
    </row>
    <row r="29" spans="1:12" ht="21" customHeight="1">
      <c r="A29" s="147"/>
      <c r="B29" s="147"/>
      <c r="C29" s="147"/>
      <c r="D29" s="149"/>
      <c r="E29" s="149"/>
      <c r="F29" s="149"/>
      <c r="G29" s="149"/>
      <c r="H29" s="149"/>
      <c r="I29" s="149"/>
      <c r="J29" s="149"/>
      <c r="K29" s="149"/>
    </row>
    <row r="30" spans="1:12" ht="21" customHeight="1">
      <c r="A30" s="147"/>
      <c r="B30" s="147"/>
      <c r="C30" s="147"/>
      <c r="D30" s="149"/>
      <c r="E30" s="149"/>
      <c r="F30" s="149"/>
      <c r="G30" s="149"/>
      <c r="H30" s="149"/>
      <c r="I30" s="149"/>
      <c r="J30" s="149"/>
      <c r="K30" s="149"/>
    </row>
    <row r="31" spans="1:12" ht="21" customHeight="1">
      <c r="A31" s="147"/>
      <c r="B31" s="147"/>
      <c r="C31" s="147"/>
      <c r="D31" s="149"/>
      <c r="E31" s="149"/>
      <c r="F31" s="149"/>
      <c r="G31" s="149"/>
      <c r="H31" s="149"/>
      <c r="I31" s="149"/>
      <c r="J31" s="149"/>
      <c r="K31" s="149"/>
    </row>
    <row r="32" spans="1:12" ht="21" customHeight="1">
      <c r="A32" s="147"/>
      <c r="B32" s="147"/>
      <c r="C32" s="147"/>
      <c r="D32" s="149"/>
      <c r="E32" s="149"/>
      <c r="F32" s="149"/>
      <c r="G32" s="149"/>
      <c r="H32" s="149"/>
      <c r="I32" s="149"/>
      <c r="J32" s="149"/>
      <c r="K32" s="149"/>
    </row>
    <row r="33" spans="1:11" ht="21" customHeight="1">
      <c r="A33" s="147"/>
      <c r="B33" s="147"/>
      <c r="C33" s="147"/>
      <c r="D33" s="149"/>
      <c r="E33" s="149"/>
      <c r="F33" s="149"/>
      <c r="G33" s="149"/>
      <c r="H33" s="149"/>
      <c r="I33" s="149"/>
      <c r="J33" s="149"/>
      <c r="K33" s="149"/>
    </row>
    <row r="34" spans="1:11" ht="21" customHeight="1">
      <c r="A34" s="147"/>
      <c r="B34" s="147"/>
      <c r="C34" s="147"/>
      <c r="D34" s="149"/>
      <c r="E34" s="149"/>
      <c r="F34" s="149"/>
      <c r="G34" s="149"/>
      <c r="H34" s="149"/>
      <c r="I34" s="149"/>
      <c r="J34" s="149"/>
      <c r="K34" s="149"/>
    </row>
    <row r="35" spans="1:11" ht="21" customHeight="1">
      <c r="A35" s="147"/>
      <c r="B35" s="147"/>
      <c r="C35" s="147"/>
      <c r="D35" s="149"/>
      <c r="E35" s="149"/>
      <c r="F35" s="149"/>
      <c r="G35" s="149"/>
      <c r="H35" s="149"/>
      <c r="I35" s="149"/>
      <c r="J35" s="149"/>
      <c r="K35" s="149"/>
    </row>
    <row r="36" spans="1:11" ht="21" customHeight="1">
      <c r="D36" s="150"/>
      <c r="E36" s="150"/>
      <c r="F36" s="150"/>
      <c r="G36" s="150"/>
      <c r="H36" s="150"/>
      <c r="I36" s="150"/>
      <c r="J36" s="150"/>
      <c r="K36" s="150"/>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6 B14:C14 D14:K15 C16:K16" formula="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7857-6FD4-476F-9071-1DD8E810A52F}">
  <sheetPr codeName="Sheet17"/>
  <dimension ref="A1:G25"/>
  <sheetViews>
    <sheetView showGridLines="0" topLeftCell="A11" workbookViewId="0">
      <selection activeCell="C21" sqref="C21:C25"/>
    </sheetView>
  </sheetViews>
  <sheetFormatPr defaultRowHeight="15"/>
  <cols>
    <col min="2" max="2" width="63.7109375" bestFit="1" customWidth="1"/>
    <col min="3" max="3" width="16.7109375" bestFit="1" customWidth="1"/>
    <col min="4" max="4" width="19.28515625" bestFit="1" customWidth="1"/>
  </cols>
  <sheetData>
    <row r="1" spans="2:7">
      <c r="B1" s="1105" t="s">
        <v>450</v>
      </c>
      <c r="C1" s="1106"/>
      <c r="D1" s="1106"/>
      <c r="E1" s="1106"/>
      <c r="F1" s="1106"/>
      <c r="G1" s="1107"/>
    </row>
    <row r="2" spans="2:7">
      <c r="B2" s="505" t="s">
        <v>257</v>
      </c>
      <c r="D2" s="506">
        <v>1</v>
      </c>
      <c r="E2" s="506">
        <v>1</v>
      </c>
      <c r="F2" s="506">
        <v>1</v>
      </c>
      <c r="G2" s="507">
        <v>1</v>
      </c>
    </row>
    <row r="3" spans="2:7">
      <c r="B3" s="1108" t="s">
        <v>258</v>
      </c>
      <c r="C3" s="1109"/>
      <c r="G3" s="594"/>
    </row>
    <row r="4" spans="2:7">
      <c r="B4" s="505"/>
      <c r="C4" s="134" t="s">
        <v>262</v>
      </c>
      <c r="D4" s="595">
        <v>1</v>
      </c>
      <c r="E4" s="595">
        <v>2</v>
      </c>
      <c r="F4" s="595">
        <v>3</v>
      </c>
      <c r="G4" s="596">
        <v>4</v>
      </c>
    </row>
    <row r="5" spans="2:7">
      <c r="B5" s="505" t="s">
        <v>298</v>
      </c>
      <c r="C5" s="146">
        <f>'Cashflow 350 KTPA'!K11</f>
        <v>3094.3312153271104</v>
      </c>
      <c r="D5" s="146">
        <f>C5-C5*0.11</f>
        <v>2753.9547816411282</v>
      </c>
      <c r="E5" s="146">
        <f>'Cashflow 350 KTPA'!K11</f>
        <v>3094.3312153271104</v>
      </c>
      <c r="F5" s="146">
        <f>C5-C5*0.05</f>
        <v>2939.6146545607548</v>
      </c>
      <c r="G5" s="527">
        <f>'Cashflow 350 KTPA'!K11</f>
        <v>3094.3312153271104</v>
      </c>
    </row>
    <row r="6" spans="2:7">
      <c r="B6" s="505" t="s">
        <v>441</v>
      </c>
      <c r="C6" s="146">
        <f t="shared" ref="C6" si="0">SUM(C7:C12)</f>
        <v>1417.76793992131</v>
      </c>
      <c r="D6" s="146">
        <f>SUM(D7:D12)</f>
        <v>1417.76793992131</v>
      </c>
      <c r="E6" s="146">
        <f t="shared" ref="E6:F6" si="1">SUM(E7:E12)</f>
        <v>1569.1853870475941</v>
      </c>
      <c r="F6" s="146">
        <f t="shared" si="1"/>
        <v>1500.359274717465</v>
      </c>
      <c r="G6" s="527">
        <f>C6+C6*0.145</f>
        <v>1623.3442912098999</v>
      </c>
    </row>
    <row r="7" spans="2:7">
      <c r="B7" s="52" t="s">
        <v>28</v>
      </c>
      <c r="C7" s="146">
        <f>'Cashflow 350 KTPA'!K14</f>
        <v>917.68149773505479</v>
      </c>
      <c r="D7" s="146">
        <f>'Cashflow 350 KTPA'!K14</f>
        <v>917.68149773505479</v>
      </c>
      <c r="E7" s="146">
        <f>C7+C7*0.165</f>
        <v>1069.0989448613389</v>
      </c>
      <c r="F7" s="146">
        <f>C7+C7*0.09</f>
        <v>1000.2728325312097</v>
      </c>
      <c r="G7" s="527">
        <f>'Cashflow 350 KTPA'!K14</f>
        <v>917.68149773505479</v>
      </c>
    </row>
    <row r="8" spans="2:7">
      <c r="B8" s="52" t="s">
        <v>325</v>
      </c>
      <c r="C8" s="146">
        <f>'Cashflow 350 KTPA'!K15</f>
        <v>122.37270002993542</v>
      </c>
      <c r="D8" s="146">
        <f>'Cashflow 350 KTPA'!K15</f>
        <v>122.37270002993542</v>
      </c>
      <c r="E8" s="146">
        <f>'Cashflow 350 KTPA'!K15</f>
        <v>122.37270002993542</v>
      </c>
      <c r="F8" s="146">
        <f>'Cashflow 350 KTPA'!K15</f>
        <v>122.37270002993542</v>
      </c>
      <c r="G8" s="527">
        <f>'Cashflow 350 KTPA'!K15</f>
        <v>122.37270002993542</v>
      </c>
    </row>
    <row r="9" spans="2:7">
      <c r="B9" s="52" t="s">
        <v>29</v>
      </c>
      <c r="C9" s="146">
        <f>'Cashflow 350 KTPA'!K16</f>
        <v>30.708780423749996</v>
      </c>
      <c r="D9" s="146">
        <f>'Cashflow 350 KTPA'!K16</f>
        <v>30.708780423749996</v>
      </c>
      <c r="E9" s="146">
        <f>'Cashflow 350 KTPA'!K16</f>
        <v>30.708780423749996</v>
      </c>
      <c r="F9" s="146">
        <f>'Cashflow 350 KTPA'!K16</f>
        <v>30.708780423749996</v>
      </c>
      <c r="G9" s="527">
        <f>'Cashflow 350 KTPA'!K16</f>
        <v>30.708780423749996</v>
      </c>
    </row>
    <row r="10" spans="2:7">
      <c r="B10" s="52" t="s">
        <v>17</v>
      </c>
      <c r="C10" s="146">
        <f>'Cashflow 350 KTPA'!K17</f>
        <v>179.39131484999996</v>
      </c>
      <c r="D10" s="146">
        <f>'Cashflow 350 KTPA'!K17</f>
        <v>179.39131484999996</v>
      </c>
      <c r="E10" s="146">
        <f>'Cashflow 350 KTPA'!K17</f>
        <v>179.39131484999996</v>
      </c>
      <c r="F10" s="146">
        <f>'Cashflow 350 KTPA'!K17</f>
        <v>179.39131484999996</v>
      </c>
      <c r="G10" s="527">
        <f>'Cashflow 350 KTPA'!K17</f>
        <v>179.39131484999996</v>
      </c>
    </row>
    <row r="11" spans="2:7">
      <c r="B11" s="52" t="s">
        <v>20</v>
      </c>
      <c r="C11" s="146">
        <f>'Cashflow 350 KTPA'!K18</f>
        <v>78.842457207074617</v>
      </c>
      <c r="D11" s="146">
        <f>'Cashflow 350 KTPA'!K18</f>
        <v>78.842457207074617</v>
      </c>
      <c r="E11" s="146">
        <f>'Cashflow 350 KTPA'!K18</f>
        <v>78.842457207074617</v>
      </c>
      <c r="F11" s="146">
        <f>'Cashflow 350 KTPA'!K18</f>
        <v>78.842457207074617</v>
      </c>
      <c r="G11" s="527">
        <f>'Cashflow 350 KTPA'!K18</f>
        <v>78.842457207074617</v>
      </c>
    </row>
    <row r="12" spans="2:7">
      <c r="B12" s="52" t="s">
        <v>21</v>
      </c>
      <c r="C12" s="146">
        <f>'Cashflow 350 KTPA'!K19</f>
        <v>88.771189675495322</v>
      </c>
      <c r="D12" s="146">
        <f>'Cashflow 350 KTPA'!K19</f>
        <v>88.771189675495322</v>
      </c>
      <c r="E12" s="146">
        <f>'Cashflow 350 KTPA'!K19</f>
        <v>88.771189675495322</v>
      </c>
      <c r="F12" s="146">
        <f>'Cashflow 350 KTPA'!K19</f>
        <v>88.771189675495322</v>
      </c>
      <c r="G12" s="527">
        <f>'Cashflow 350 KTPA'!K19</f>
        <v>88.771189675495322</v>
      </c>
    </row>
    <row r="13" spans="2:7">
      <c r="B13" s="505" t="s">
        <v>442</v>
      </c>
      <c r="C13" s="146">
        <f t="shared" ref="C13:D13" si="2">C5-C6</f>
        <v>1676.5632754058004</v>
      </c>
      <c r="D13" s="146">
        <f t="shared" si="2"/>
        <v>1336.1868417198182</v>
      </c>
      <c r="E13" s="146">
        <f t="shared" ref="E13:G13" si="3">E5-E6</f>
        <v>1525.1458282795163</v>
      </c>
      <c r="F13" s="146">
        <f t="shared" si="3"/>
        <v>1439.2553798432898</v>
      </c>
      <c r="G13" s="527">
        <f t="shared" si="3"/>
        <v>1470.9869241172105</v>
      </c>
    </row>
    <row r="14" spans="2:7">
      <c r="B14" s="505" t="s">
        <v>448</v>
      </c>
      <c r="C14" s="146">
        <f>'Cashflow 350 KTPA'!$G$8/10</f>
        <v>415.94497678079995</v>
      </c>
      <c r="D14" s="146">
        <f>'Cashflow 350 KTPA'!$G$8/10</f>
        <v>415.94497678079995</v>
      </c>
      <c r="E14" s="146">
        <f>'Cashflow 350 KTPA'!$G$8/10</f>
        <v>415.94497678079995</v>
      </c>
      <c r="F14" s="146">
        <f>'Cashflow 350 KTPA'!$G$8/10</f>
        <v>415.94497678079995</v>
      </c>
      <c r="G14" s="527">
        <f>'Cashflow 350 KTPA'!$G$8/10</f>
        <v>415.94497678079995</v>
      </c>
    </row>
    <row r="15" spans="2:7">
      <c r="B15" s="505" t="s">
        <v>449</v>
      </c>
      <c r="C15" s="146">
        <f t="shared" ref="C15:D15" si="4">C13-C14</f>
        <v>1260.6182986250005</v>
      </c>
      <c r="D15" s="146">
        <f t="shared" si="4"/>
        <v>920.24186493901823</v>
      </c>
      <c r="E15" s="146">
        <f t="shared" ref="E15:G15" si="5">E13-E14</f>
        <v>1109.2008514987165</v>
      </c>
      <c r="F15" s="146">
        <f t="shared" si="5"/>
        <v>1023.3104030624899</v>
      </c>
      <c r="G15" s="527">
        <f t="shared" si="5"/>
        <v>1055.0419473364104</v>
      </c>
    </row>
    <row r="16" spans="2:7">
      <c r="B16" s="505" t="s">
        <v>269</v>
      </c>
      <c r="C16" s="146">
        <f t="shared" ref="C16:D16" si="6">C15*0.2517</f>
        <v>317.29762576391261</v>
      </c>
      <c r="D16" s="146">
        <f t="shared" si="6"/>
        <v>231.62487740515087</v>
      </c>
      <c r="E16" s="146">
        <f t="shared" ref="E16:G16" si="7">E15*0.2517</f>
        <v>279.18585432222693</v>
      </c>
      <c r="F16" s="146">
        <f t="shared" si="7"/>
        <v>257.56722845082868</v>
      </c>
      <c r="G16" s="527">
        <f t="shared" si="7"/>
        <v>265.55405814457447</v>
      </c>
    </row>
    <row r="17" spans="1:7">
      <c r="B17" s="509" t="s">
        <v>270</v>
      </c>
      <c r="C17" s="528">
        <f t="shared" ref="C17:D17" si="8">C15-C16</f>
        <v>943.32067286108793</v>
      </c>
      <c r="D17" s="528">
        <f t="shared" si="8"/>
        <v>688.61698753386736</v>
      </c>
      <c r="E17" s="528">
        <f t="shared" ref="E17:G17" si="9">E15-E16</f>
        <v>830.01499717648949</v>
      </c>
      <c r="F17" s="528">
        <f t="shared" si="9"/>
        <v>765.74317461166117</v>
      </c>
      <c r="G17" s="529">
        <f t="shared" si="9"/>
        <v>789.48788919183596</v>
      </c>
    </row>
    <row r="18" spans="1:7">
      <c r="D18" s="597"/>
      <c r="E18" s="597"/>
      <c r="F18" s="597"/>
      <c r="G18" s="597"/>
    </row>
    <row r="19" spans="1:7">
      <c r="A19" s="526" t="s">
        <v>117</v>
      </c>
      <c r="B19" s="1111" t="s">
        <v>545</v>
      </c>
      <c r="C19" s="1112"/>
      <c r="D19" s="1112"/>
    </row>
    <row r="20" spans="1:7">
      <c r="A20" s="523"/>
      <c r="B20" s="343" t="s">
        <v>358</v>
      </c>
      <c r="C20" s="344" t="s">
        <v>270</v>
      </c>
      <c r="D20" s="601" t="s">
        <v>492</v>
      </c>
    </row>
    <row r="21" spans="1:7">
      <c r="A21" s="524"/>
      <c r="B21" s="345" t="s">
        <v>491</v>
      </c>
      <c r="C21" s="598">
        <f>C17</f>
        <v>943.32067286108793</v>
      </c>
      <c r="D21" s="602" t="s">
        <v>493</v>
      </c>
    </row>
    <row r="22" spans="1:7">
      <c r="A22" s="524">
        <v>1</v>
      </c>
      <c r="B22" s="345" t="s">
        <v>360</v>
      </c>
      <c r="C22" s="599">
        <f>D17</f>
        <v>688.61698753386736</v>
      </c>
      <c r="D22" s="923">
        <f>(C22-$C$21)/$C$21</f>
        <v>-0.27000753047710202</v>
      </c>
    </row>
    <row r="23" spans="1:7">
      <c r="A23" s="524">
        <v>2</v>
      </c>
      <c r="B23" s="345" t="s">
        <v>361</v>
      </c>
      <c r="C23" s="599">
        <f>E17</f>
        <v>830.01499717648949</v>
      </c>
      <c r="D23" s="923">
        <f t="shared" ref="D23:D25" si="10">(C23-$C$21)/$C$21</f>
        <v>-0.1201136357384629</v>
      </c>
    </row>
    <row r="24" spans="1:7">
      <c r="A24" s="524">
        <v>3</v>
      </c>
      <c r="B24" s="345" t="s">
        <v>362</v>
      </c>
      <c r="C24" s="599">
        <f>F17</f>
        <v>765.74317461166117</v>
      </c>
      <c r="D24" s="923">
        <f t="shared" si="10"/>
        <v>-0.18824722425602622</v>
      </c>
    </row>
    <row r="25" spans="1:7">
      <c r="A25" s="525">
        <v>4</v>
      </c>
      <c r="B25" s="349" t="s">
        <v>363</v>
      </c>
      <c r="C25" s="600">
        <f>G17</f>
        <v>789.48788919183596</v>
      </c>
      <c r="D25" s="924">
        <f t="shared" si="10"/>
        <v>-0.16307581090391854</v>
      </c>
    </row>
  </sheetData>
  <mergeCells count="3">
    <mergeCell ref="B3:C3"/>
    <mergeCell ref="B1:G1"/>
    <mergeCell ref="B19:D19"/>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E56A-8EFD-4474-8694-3D6AB2C8D4FD}">
  <sheetPr codeName="Sheet5"/>
  <dimension ref="A1:Q41"/>
  <sheetViews>
    <sheetView showGridLines="0" topLeftCell="G1" zoomScale="89" zoomScaleNormal="89" workbookViewId="0">
      <selection activeCell="J10" sqref="J10"/>
    </sheetView>
  </sheetViews>
  <sheetFormatPr defaultRowHeight="12.75"/>
  <cols>
    <col min="1" max="1" width="13" style="1" hidden="1" customWidth="1"/>
    <col min="2" max="2" width="31.42578125" style="1" hidden="1" customWidth="1"/>
    <col min="3" max="3" width="22.140625" style="1" hidden="1" customWidth="1"/>
    <col min="4" max="4" width="21.28515625" style="1" hidden="1" customWidth="1"/>
    <col min="5" max="5" width="22.28515625" style="1" hidden="1" customWidth="1"/>
    <col min="6" max="6" width="0" style="1" hidden="1" customWidth="1"/>
    <col min="7" max="7" width="9.140625" style="1"/>
    <col min="8" max="8" width="38.85546875" style="1" bestFit="1" customWidth="1"/>
    <col min="9" max="9" width="11.5703125" style="1" bestFit="1" customWidth="1"/>
    <col min="10" max="10" width="22.140625" style="1" customWidth="1"/>
    <col min="11" max="11" width="14.140625" style="1" customWidth="1"/>
    <col min="12" max="13" width="9.140625" style="1"/>
    <col min="14" max="14" width="20.42578125" style="1" customWidth="1"/>
    <col min="15" max="15" width="16" style="1" customWidth="1"/>
    <col min="16" max="16" width="16.7109375" style="1" customWidth="1"/>
    <col min="17" max="17" width="29.7109375" style="1" customWidth="1"/>
    <col min="18" max="16384" width="9.140625" style="1"/>
  </cols>
  <sheetData>
    <row r="1" spans="1:17" ht="15.75" customHeight="1">
      <c r="A1" s="1113" t="e">
        <f>#REF!</f>
        <v>#REF!</v>
      </c>
      <c r="B1" s="1114"/>
      <c r="C1" s="1114"/>
      <c r="D1" s="1114"/>
      <c r="E1" s="1114"/>
      <c r="G1" s="1113" t="s">
        <v>371</v>
      </c>
      <c r="H1" s="1114"/>
      <c r="I1" s="1114"/>
      <c r="J1" s="1114"/>
      <c r="K1" s="1114"/>
      <c r="M1" s="1113" t="s">
        <v>351</v>
      </c>
      <c r="N1" s="1114"/>
      <c r="O1" s="1114"/>
      <c r="P1" s="1114"/>
      <c r="Q1" s="1114"/>
    </row>
    <row r="2" spans="1:17" ht="8.25" customHeight="1">
      <c r="A2" s="1115"/>
      <c r="B2" s="1116"/>
      <c r="C2" s="1116"/>
      <c r="D2" s="1116"/>
      <c r="E2" s="1116"/>
      <c r="G2" s="1115"/>
      <c r="H2" s="1116"/>
      <c r="I2" s="1116"/>
      <c r="J2" s="1116"/>
      <c r="K2" s="1116"/>
      <c r="M2" s="1115"/>
      <c r="N2" s="1116"/>
      <c r="O2" s="1116"/>
      <c r="P2" s="1116"/>
      <c r="Q2" s="1116"/>
    </row>
    <row r="3" spans="1:17">
      <c r="A3" s="1117"/>
      <c r="B3" s="1114"/>
      <c r="C3" s="37" t="s">
        <v>76</v>
      </c>
      <c r="D3" s="37" t="s">
        <v>77</v>
      </c>
      <c r="E3" s="38" t="s">
        <v>78</v>
      </c>
      <c r="G3" s="1117"/>
      <c r="H3" s="1114"/>
      <c r="I3" s="37" t="s">
        <v>76</v>
      </c>
      <c r="J3" s="37" t="s">
        <v>77</v>
      </c>
      <c r="K3" s="38" t="s">
        <v>78</v>
      </c>
      <c r="M3" s="1117"/>
      <c r="N3" s="1114"/>
      <c r="O3" s="37" t="s">
        <v>76</v>
      </c>
      <c r="P3" s="37" t="s">
        <v>77</v>
      </c>
      <c r="Q3" s="38" t="s">
        <v>78</v>
      </c>
    </row>
    <row r="4" spans="1:17">
      <c r="A4" s="1118"/>
      <c r="B4" s="1116"/>
      <c r="C4" s="39" t="s">
        <v>79</v>
      </c>
      <c r="D4" s="39" t="s">
        <v>142</v>
      </c>
      <c r="E4" s="40" t="s">
        <v>118</v>
      </c>
      <c r="G4" s="1118"/>
      <c r="H4" s="1116"/>
      <c r="I4" s="39" t="s">
        <v>79</v>
      </c>
      <c r="J4" s="39" t="s">
        <v>142</v>
      </c>
      <c r="K4" s="40" t="s">
        <v>118</v>
      </c>
      <c r="M4" s="1118"/>
      <c r="N4" s="1116"/>
      <c r="O4" s="39" t="s">
        <v>79</v>
      </c>
      <c r="P4" s="39" t="s">
        <v>142</v>
      </c>
      <c r="Q4" s="40" t="s">
        <v>118</v>
      </c>
    </row>
    <row r="5" spans="1:17">
      <c r="A5" s="27"/>
      <c r="B5" s="23"/>
      <c r="C5" s="23"/>
      <c r="D5" s="23"/>
      <c r="E5" s="28"/>
      <c r="G5" s="27"/>
      <c r="H5" s="23"/>
      <c r="I5" s="23"/>
      <c r="J5" s="23"/>
      <c r="K5" s="28"/>
      <c r="M5" s="27"/>
      <c r="N5" s="23"/>
      <c r="O5" s="23"/>
      <c r="P5" s="23"/>
      <c r="Q5" s="28"/>
    </row>
    <row r="6" spans="1:17">
      <c r="A6" s="29" t="s">
        <v>53</v>
      </c>
      <c r="B6" s="22" t="s">
        <v>80</v>
      </c>
      <c r="C6" s="23"/>
      <c r="D6" s="23"/>
      <c r="E6" s="28"/>
      <c r="G6" s="29" t="s">
        <v>53</v>
      </c>
      <c r="H6" s="22" t="s">
        <v>80</v>
      </c>
      <c r="I6" s="23"/>
      <c r="J6" s="23"/>
      <c r="K6" s="28"/>
      <c r="M6" s="29" t="s">
        <v>53</v>
      </c>
      <c r="N6" s="22" t="s">
        <v>80</v>
      </c>
      <c r="O6" s="23"/>
      <c r="P6" s="23"/>
      <c r="Q6" s="28"/>
    </row>
    <row r="7" spans="1:17">
      <c r="A7" s="27">
        <v>1</v>
      </c>
      <c r="B7" s="25" t="s">
        <v>99</v>
      </c>
      <c r="C7" s="23"/>
      <c r="D7" s="23"/>
      <c r="E7" s="28"/>
      <c r="G7" s="27">
        <v>1</v>
      </c>
      <c r="H7" s="25" t="s">
        <v>99</v>
      </c>
      <c r="I7" s="23"/>
      <c r="J7" s="23"/>
      <c r="K7" s="28"/>
      <c r="M7" s="27">
        <v>1</v>
      </c>
      <c r="N7" s="25" t="s">
        <v>99</v>
      </c>
      <c r="O7" s="23"/>
      <c r="P7" s="23"/>
      <c r="Q7" s="28"/>
    </row>
    <row r="8" spans="1:17">
      <c r="A8" s="27" t="s">
        <v>81</v>
      </c>
      <c r="B8" s="23" t="s">
        <v>145</v>
      </c>
      <c r="C8" s="24" t="e">
        <f>#REF!*1000</f>
        <v>#REF!</v>
      </c>
      <c r="D8" s="24" t="e">
        <f>#REF!</f>
        <v>#REF!</v>
      </c>
      <c r="E8" s="35" t="e">
        <f>(C8*D8)/10^7</f>
        <v>#REF!</v>
      </c>
      <c r="G8" s="27" t="s">
        <v>81</v>
      </c>
      <c r="H8" s="23" t="s">
        <v>145</v>
      </c>
      <c r="I8" s="24">
        <v>161200</v>
      </c>
      <c r="J8" s="24" t="e">
        <f>#REF!</f>
        <v>#REF!</v>
      </c>
      <c r="K8" s="35" t="e">
        <f>(I8*J8)/10^7</f>
        <v>#REF!</v>
      </c>
      <c r="M8" s="27" t="s">
        <v>81</v>
      </c>
      <c r="N8" s="23" t="s">
        <v>145</v>
      </c>
      <c r="O8" s="24">
        <v>161200</v>
      </c>
      <c r="P8" s="24" t="e">
        <f>#REF!</f>
        <v>#REF!</v>
      </c>
      <c r="Q8" s="35" t="e">
        <f>(O8*P8)/10^7</f>
        <v>#REF!</v>
      </c>
    </row>
    <row r="9" spans="1:17">
      <c r="A9" s="27"/>
      <c r="B9" s="23" t="s">
        <v>139</v>
      </c>
      <c r="C9" s="24">
        <v>206500</v>
      </c>
      <c r="D9" s="24">
        <v>5900</v>
      </c>
      <c r="E9" s="35">
        <f>(C9*D9)/10^7</f>
        <v>121.83499999999999</v>
      </c>
      <c r="G9" s="27"/>
      <c r="H9" s="23" t="s">
        <v>139</v>
      </c>
      <c r="I9" s="24">
        <v>206500</v>
      </c>
      <c r="J9" s="24">
        <v>5900</v>
      </c>
      <c r="K9" s="35">
        <f>(I9*J9)/10^7</f>
        <v>121.83499999999999</v>
      </c>
      <c r="M9" s="27"/>
      <c r="N9" s="23" t="s">
        <v>139</v>
      </c>
      <c r="O9" s="24">
        <v>206500</v>
      </c>
      <c r="P9" s="24">
        <v>5900</v>
      </c>
      <c r="Q9" s="35">
        <f>(O9*P9)/10^7</f>
        <v>121.83499999999999</v>
      </c>
    </row>
    <row r="10" spans="1:17">
      <c r="A10" s="27"/>
      <c r="B10" s="23"/>
      <c r="C10" s="24"/>
      <c r="D10" s="24"/>
      <c r="E10" s="35"/>
      <c r="G10" s="27"/>
      <c r="H10" s="23" t="s">
        <v>140</v>
      </c>
      <c r="I10" s="24">
        <v>49000</v>
      </c>
      <c r="J10" s="24">
        <v>5550</v>
      </c>
      <c r="K10" s="35">
        <f>(I10*J10)/10^7</f>
        <v>27.195</v>
      </c>
      <c r="M10" s="27"/>
      <c r="N10" s="23" t="s">
        <v>105</v>
      </c>
      <c r="O10" s="24">
        <v>200000</v>
      </c>
      <c r="P10" s="24">
        <v>27800</v>
      </c>
      <c r="Q10" s="35">
        <f>(O10*P10)/10^7</f>
        <v>556</v>
      </c>
    </row>
    <row r="11" spans="1:17">
      <c r="A11" s="27"/>
      <c r="B11" s="23" t="s">
        <v>2</v>
      </c>
      <c r="C11" s="24">
        <v>91750</v>
      </c>
      <c r="D11" s="24" t="e">
        <f>#REF!</f>
        <v>#REF!</v>
      </c>
      <c r="E11" s="35" t="e">
        <f>(C11*D11)/10^7</f>
        <v>#REF!</v>
      </c>
      <c r="G11" s="27"/>
      <c r="H11" s="23" t="s">
        <v>82</v>
      </c>
      <c r="I11" s="23"/>
      <c r="J11" s="23"/>
      <c r="K11" s="36" t="e">
        <f>SUM(K8:K10)</f>
        <v>#REF!</v>
      </c>
      <c r="M11" s="27"/>
      <c r="N11" s="23" t="s">
        <v>140</v>
      </c>
      <c r="O11" s="24">
        <v>49000</v>
      </c>
      <c r="P11" s="24">
        <v>5550</v>
      </c>
      <c r="Q11" s="35">
        <f>(O11*P11)/10^7</f>
        <v>27.195</v>
      </c>
    </row>
    <row r="12" spans="1:17">
      <c r="A12" s="27"/>
      <c r="B12" s="23" t="s">
        <v>3</v>
      </c>
      <c r="C12" s="24" t="e">
        <f>#REF!*1000</f>
        <v>#REF!</v>
      </c>
      <c r="D12" s="24">
        <v>57220</v>
      </c>
      <c r="E12" s="35" t="e">
        <f>(C12*D12)/10^7</f>
        <v>#REF!</v>
      </c>
      <c r="G12" s="27">
        <v>2</v>
      </c>
      <c r="H12" s="25" t="s">
        <v>100</v>
      </c>
      <c r="I12" s="23"/>
      <c r="J12" s="23"/>
      <c r="K12" s="35">
        <v>39.200000000000003</v>
      </c>
      <c r="M12" s="27"/>
      <c r="N12" s="23" t="s">
        <v>82</v>
      </c>
      <c r="O12" s="23"/>
      <c r="P12" s="23"/>
      <c r="Q12" s="36" t="e">
        <f>SUM(Q8:Q11)</f>
        <v>#REF!</v>
      </c>
    </row>
    <row r="13" spans="1:17">
      <c r="A13" s="27"/>
      <c r="B13" s="23" t="s">
        <v>140</v>
      </c>
      <c r="C13" s="24">
        <v>49000</v>
      </c>
      <c r="D13" s="24">
        <v>5550</v>
      </c>
      <c r="E13" s="35">
        <f>(C13*D13)/10^7</f>
        <v>27.195</v>
      </c>
      <c r="G13" s="27">
        <v>3</v>
      </c>
      <c r="H13" s="25" t="s">
        <v>101</v>
      </c>
      <c r="I13" s="23"/>
      <c r="J13" s="23"/>
      <c r="K13" s="35">
        <f>'Opex PVC'!B71</f>
        <v>0</v>
      </c>
      <c r="M13" s="27">
        <v>2</v>
      </c>
      <c r="N13" s="25" t="s">
        <v>100</v>
      </c>
      <c r="O13" s="23"/>
      <c r="P13" s="23"/>
      <c r="Q13" s="35">
        <v>51.55</v>
      </c>
    </row>
    <row r="14" spans="1:17">
      <c r="A14" s="27"/>
      <c r="B14" s="23" t="s">
        <v>82</v>
      </c>
      <c r="C14" s="23"/>
      <c r="D14" s="23"/>
      <c r="E14" s="36" t="e">
        <f>SUM(E8:E13)</f>
        <v>#REF!</v>
      </c>
      <c r="G14" s="27">
        <v>4</v>
      </c>
      <c r="H14" s="25" t="s">
        <v>102</v>
      </c>
      <c r="I14" s="23"/>
      <c r="J14" s="23"/>
      <c r="K14" s="35">
        <v>118</v>
      </c>
      <c r="M14" s="27">
        <v>3</v>
      </c>
      <c r="N14" s="25" t="s">
        <v>101</v>
      </c>
      <c r="O14" s="23"/>
      <c r="P14" s="23"/>
      <c r="Q14" s="35">
        <f>K13+K13*0.25</f>
        <v>0</v>
      </c>
    </row>
    <row r="15" spans="1:17">
      <c r="A15" s="27">
        <v>2</v>
      </c>
      <c r="B15" s="25" t="s">
        <v>100</v>
      </c>
      <c r="C15" s="23"/>
      <c r="D15" s="23"/>
      <c r="E15" s="35" t="e">
        <f>K12+#REF!</f>
        <v>#REF!</v>
      </c>
      <c r="G15" s="29"/>
      <c r="H15" s="22" t="s">
        <v>83</v>
      </c>
      <c r="I15" s="22"/>
      <c r="J15" s="22"/>
      <c r="K15" s="234" t="e">
        <f>K11+K12+K13+K14</f>
        <v>#REF!</v>
      </c>
      <c r="M15" s="27">
        <v>4</v>
      </c>
      <c r="N15" s="25" t="s">
        <v>102</v>
      </c>
      <c r="O15" s="23"/>
      <c r="P15" s="23"/>
      <c r="Q15" s="35">
        <v>145</v>
      </c>
    </row>
    <row r="16" spans="1:17">
      <c r="A16" s="27">
        <v>3</v>
      </c>
      <c r="B16" s="25" t="s">
        <v>101</v>
      </c>
      <c r="C16" s="23"/>
      <c r="D16" s="23"/>
      <c r="E16" s="35" t="e">
        <f>K13+#REF!</f>
        <v>#REF!</v>
      </c>
      <c r="G16" s="27"/>
      <c r="H16" s="23"/>
      <c r="I16" s="23"/>
      <c r="J16" s="23"/>
      <c r="K16" s="28"/>
      <c r="M16" s="29"/>
      <c r="N16" s="22" t="s">
        <v>83</v>
      </c>
      <c r="O16" s="22"/>
      <c r="P16" s="22"/>
      <c r="Q16" s="234" t="e">
        <f>Q12+Q13+Q14+Q15</f>
        <v>#REF!</v>
      </c>
    </row>
    <row r="17" spans="1:17">
      <c r="A17" s="27">
        <v>4</v>
      </c>
      <c r="B17" s="25" t="s">
        <v>102</v>
      </c>
      <c r="C17" s="23"/>
      <c r="D17" s="23"/>
      <c r="E17" s="35" t="e">
        <f>K14+#REF!</f>
        <v>#REF!</v>
      </c>
      <c r="G17" s="29" t="s">
        <v>70</v>
      </c>
      <c r="H17" s="22" t="s">
        <v>84</v>
      </c>
      <c r="I17" s="23"/>
      <c r="J17" s="23"/>
      <c r="K17" s="28"/>
      <c r="M17" s="27"/>
      <c r="N17" s="23"/>
      <c r="O17" s="23"/>
      <c r="P17" s="23"/>
      <c r="Q17" s="28"/>
    </row>
    <row r="18" spans="1:17">
      <c r="A18" s="29"/>
      <c r="B18" s="22" t="s">
        <v>83</v>
      </c>
      <c r="C18" s="22"/>
      <c r="D18" s="22"/>
      <c r="E18" s="36" t="e">
        <f>E14+E15+E16+E17</f>
        <v>#REF!</v>
      </c>
      <c r="G18" s="27">
        <v>1</v>
      </c>
      <c r="H18" s="25" t="s">
        <v>350</v>
      </c>
      <c r="I18" s="23"/>
      <c r="J18" s="23"/>
      <c r="K18" s="35">
        <f>Capex!D21*0.015</f>
        <v>62.391746517119991</v>
      </c>
      <c r="M18" s="29" t="s">
        <v>70</v>
      </c>
      <c r="N18" s="22" t="s">
        <v>84</v>
      </c>
      <c r="O18" s="23"/>
      <c r="P18" s="23"/>
      <c r="Q18" s="28"/>
    </row>
    <row r="19" spans="1:17">
      <c r="A19" s="27"/>
      <c r="B19" s="23"/>
      <c r="C19" s="23"/>
      <c r="D19" s="23"/>
      <c r="E19" s="28"/>
      <c r="G19" s="27">
        <v>2</v>
      </c>
      <c r="H19" s="25" t="s">
        <v>103</v>
      </c>
      <c r="I19" s="23"/>
      <c r="J19" s="23"/>
      <c r="K19" s="35">
        <f>'Salaries &amp; Wages Calculations'!D8</f>
        <v>26.91</v>
      </c>
      <c r="M19" s="27">
        <v>1</v>
      </c>
      <c r="N19" s="25" t="s">
        <v>350</v>
      </c>
      <c r="O19" s="23"/>
      <c r="P19" s="23"/>
      <c r="Q19" s="35">
        <f>Capex!H21*0.015</f>
        <v>90.801752757119985</v>
      </c>
    </row>
    <row r="20" spans="1:17">
      <c r="A20" s="29" t="s">
        <v>70</v>
      </c>
      <c r="B20" s="22" t="s">
        <v>84</v>
      </c>
      <c r="C20" s="23"/>
      <c r="D20" s="23"/>
      <c r="E20" s="28"/>
      <c r="G20" s="27">
        <v>3</v>
      </c>
      <c r="H20" s="25" t="s">
        <v>104</v>
      </c>
      <c r="I20" s="26">
        <v>1</v>
      </c>
      <c r="J20" s="23"/>
      <c r="K20" s="35">
        <f>K19</f>
        <v>26.91</v>
      </c>
      <c r="M20" s="27">
        <v>2</v>
      </c>
      <c r="N20" s="25" t="s">
        <v>103</v>
      </c>
      <c r="O20" s="23"/>
      <c r="P20" s="23"/>
      <c r="Q20" s="35">
        <f>K19*1.1</f>
        <v>29.601000000000003</v>
      </c>
    </row>
    <row r="21" spans="1:17">
      <c r="A21" s="27">
        <v>1</v>
      </c>
      <c r="B21" s="25" t="s">
        <v>199</v>
      </c>
      <c r="C21" s="23"/>
      <c r="D21" s="23"/>
      <c r="E21" s="35" t="e">
        <f>K18+#REF!</f>
        <v>#REF!</v>
      </c>
      <c r="G21" s="30"/>
      <c r="H21" s="31" t="s">
        <v>85</v>
      </c>
      <c r="I21" s="31"/>
      <c r="J21" s="31"/>
      <c r="K21" s="233">
        <f>SUM(K18:K20)</f>
        <v>116.21174651711999</v>
      </c>
      <c r="M21" s="27">
        <v>3</v>
      </c>
      <c r="N21" s="25" t="s">
        <v>104</v>
      </c>
      <c r="O21" s="26">
        <v>1</v>
      </c>
      <c r="P21" s="23"/>
      <c r="Q21" s="35">
        <f>Q20</f>
        <v>29.601000000000003</v>
      </c>
    </row>
    <row r="22" spans="1:17">
      <c r="A22" s="27">
        <v>2</v>
      </c>
      <c r="B22" s="25" t="s">
        <v>103</v>
      </c>
      <c r="C22" s="23"/>
      <c r="D22" s="23"/>
      <c r="E22" s="35" t="e">
        <f>K19+#REF!</f>
        <v>#REF!</v>
      </c>
      <c r="H22" s="167" t="s">
        <v>365</v>
      </c>
      <c r="K22" s="108" t="e">
        <f>K15+K21</f>
        <v>#REF!</v>
      </c>
      <c r="M22" s="30"/>
      <c r="N22" s="31" t="s">
        <v>85</v>
      </c>
      <c r="O22" s="31"/>
      <c r="P22" s="31"/>
      <c r="Q22" s="233">
        <f>SUM(Q19:Q21)</f>
        <v>150.00375275712</v>
      </c>
    </row>
    <row r="23" spans="1:17">
      <c r="N23" s="167" t="s">
        <v>365</v>
      </c>
      <c r="Q23" s="108" t="e">
        <f>Q16+Q22</f>
        <v>#REF!</v>
      </c>
    </row>
    <row r="27" spans="1:17" ht="38.25">
      <c r="H27" s="109" t="s">
        <v>242</v>
      </c>
    </row>
    <row r="28" spans="1:17">
      <c r="H28" s="111" t="s">
        <v>243</v>
      </c>
      <c r="L28" s="161"/>
    </row>
    <row r="29" spans="1:17">
      <c r="H29" s="111" t="s">
        <v>244</v>
      </c>
      <c r="L29" s="161"/>
    </row>
    <row r="30" spans="1:17">
      <c r="H30" s="111" t="s">
        <v>248</v>
      </c>
      <c r="L30" s="161"/>
    </row>
    <row r="31" spans="1:17">
      <c r="H31" s="111" t="s">
        <v>247</v>
      </c>
      <c r="L31" s="161"/>
    </row>
    <row r="32" spans="1:17">
      <c r="H32" s="111" t="s">
        <v>245</v>
      </c>
      <c r="L32" s="161"/>
    </row>
    <row r="33" spans="8:12" ht="21" customHeight="1">
      <c r="H33" s="110" t="s">
        <v>246</v>
      </c>
      <c r="L33" s="161"/>
    </row>
    <row r="34" spans="8:12">
      <c r="L34" s="161"/>
    </row>
    <row r="35" spans="8:12">
      <c r="L35" s="161"/>
    </row>
    <row r="40" spans="8:12">
      <c r="H40" s="25" t="s">
        <v>253</v>
      </c>
    </row>
    <row r="41" spans="8:12">
      <c r="H41" s="25" t="s">
        <v>254</v>
      </c>
    </row>
  </sheetData>
  <mergeCells count="9">
    <mergeCell ref="M1:Q2"/>
    <mergeCell ref="M3:M4"/>
    <mergeCell ref="N3:N4"/>
    <mergeCell ref="A1:E2"/>
    <mergeCell ref="A3:A4"/>
    <mergeCell ref="B3:B4"/>
    <mergeCell ref="G1:K2"/>
    <mergeCell ref="G3:G4"/>
    <mergeCell ref="H3:H4"/>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8B08-AEC5-4635-AF99-22B3D63F7E1B}">
  <sheetPr codeName="Sheet31"/>
  <dimension ref="A1:L18"/>
  <sheetViews>
    <sheetView showGridLines="0" topLeftCell="A4" zoomScaleNormal="100" zoomScaleSheetLayoutView="98" workbookViewId="0">
      <selection activeCell="E13" sqref="E13:E14"/>
    </sheetView>
  </sheetViews>
  <sheetFormatPr defaultRowHeight="12.75"/>
  <cols>
    <col min="1" max="1" width="49.140625" style="123" customWidth="1"/>
    <col min="2" max="2" width="20.7109375" style="123" customWidth="1"/>
    <col min="3" max="3" width="9.140625" style="123"/>
    <col min="4" max="4" width="35.28515625" style="123" customWidth="1"/>
    <col min="5" max="5" width="34.7109375" style="123" customWidth="1"/>
    <col min="6" max="6" width="12.42578125" style="123" customWidth="1"/>
    <col min="7" max="7" width="13.42578125" style="123" customWidth="1"/>
    <col min="8" max="256" width="9.140625" style="123"/>
    <col min="257" max="257" width="49.140625" style="123" customWidth="1"/>
    <col min="258" max="258" width="20.7109375" style="123" customWidth="1"/>
    <col min="259" max="259" width="9.140625" style="123"/>
    <col min="260" max="260" width="11.85546875" style="123" customWidth="1"/>
    <col min="261" max="261" width="11.7109375" style="123" customWidth="1"/>
    <col min="262" max="262" width="12.42578125" style="123" customWidth="1"/>
    <col min="263" max="263" width="13.42578125" style="123" customWidth="1"/>
    <col min="264" max="512" width="9.140625" style="123"/>
    <col min="513" max="513" width="49.140625" style="123" customWidth="1"/>
    <col min="514" max="514" width="20.7109375" style="123" customWidth="1"/>
    <col min="515" max="515" width="9.140625" style="123"/>
    <col min="516" max="516" width="11.85546875" style="123" customWidth="1"/>
    <col min="517" max="517" width="11.7109375" style="123" customWidth="1"/>
    <col min="518" max="518" width="12.42578125" style="123" customWidth="1"/>
    <col min="519" max="519" width="13.42578125" style="123" customWidth="1"/>
    <col min="520" max="768" width="9.140625" style="123"/>
    <col min="769" max="769" width="49.140625" style="123" customWidth="1"/>
    <col min="770" max="770" width="20.7109375" style="123" customWidth="1"/>
    <col min="771" max="771" width="9.140625" style="123"/>
    <col min="772" max="772" width="11.85546875" style="123" customWidth="1"/>
    <col min="773" max="773" width="11.7109375" style="123" customWidth="1"/>
    <col min="774" max="774" width="12.42578125" style="123" customWidth="1"/>
    <col min="775" max="775" width="13.42578125" style="123" customWidth="1"/>
    <col min="776" max="1024" width="9.140625" style="123"/>
    <col min="1025" max="1025" width="49.140625" style="123" customWidth="1"/>
    <col min="1026" max="1026" width="20.7109375" style="123" customWidth="1"/>
    <col min="1027" max="1027" width="9.140625" style="123"/>
    <col min="1028" max="1028" width="11.85546875" style="123" customWidth="1"/>
    <col min="1029" max="1029" width="11.7109375" style="123" customWidth="1"/>
    <col min="1030" max="1030" width="12.42578125" style="123" customWidth="1"/>
    <col min="1031" max="1031" width="13.42578125" style="123" customWidth="1"/>
    <col min="1032" max="1280" width="9.140625" style="123"/>
    <col min="1281" max="1281" width="49.140625" style="123" customWidth="1"/>
    <col min="1282" max="1282" width="20.7109375" style="123" customWidth="1"/>
    <col min="1283" max="1283" width="9.140625" style="123"/>
    <col min="1284" max="1284" width="11.85546875" style="123" customWidth="1"/>
    <col min="1285" max="1285" width="11.7109375" style="123" customWidth="1"/>
    <col min="1286" max="1286" width="12.42578125" style="123" customWidth="1"/>
    <col min="1287" max="1287" width="13.42578125" style="123" customWidth="1"/>
    <col min="1288" max="1536" width="9.140625" style="123"/>
    <col min="1537" max="1537" width="49.140625" style="123" customWidth="1"/>
    <col min="1538" max="1538" width="20.7109375" style="123" customWidth="1"/>
    <col min="1539" max="1539" width="9.140625" style="123"/>
    <col min="1540" max="1540" width="11.85546875" style="123" customWidth="1"/>
    <col min="1541" max="1541" width="11.7109375" style="123" customWidth="1"/>
    <col min="1542" max="1542" width="12.42578125" style="123" customWidth="1"/>
    <col min="1543" max="1543" width="13.42578125" style="123" customWidth="1"/>
    <col min="1544" max="1792" width="9.140625" style="123"/>
    <col min="1793" max="1793" width="49.140625" style="123" customWidth="1"/>
    <col min="1794" max="1794" width="20.7109375" style="123" customWidth="1"/>
    <col min="1795" max="1795" width="9.140625" style="123"/>
    <col min="1796" max="1796" width="11.85546875" style="123" customWidth="1"/>
    <col min="1797" max="1797" width="11.7109375" style="123" customWidth="1"/>
    <col min="1798" max="1798" width="12.42578125" style="123" customWidth="1"/>
    <col min="1799" max="1799" width="13.42578125" style="123" customWidth="1"/>
    <col min="1800" max="2048" width="9.140625" style="123"/>
    <col min="2049" max="2049" width="49.140625" style="123" customWidth="1"/>
    <col min="2050" max="2050" width="20.7109375" style="123" customWidth="1"/>
    <col min="2051" max="2051" width="9.140625" style="123"/>
    <col min="2052" max="2052" width="11.85546875" style="123" customWidth="1"/>
    <col min="2053" max="2053" width="11.7109375" style="123" customWidth="1"/>
    <col min="2054" max="2054" width="12.42578125" style="123" customWidth="1"/>
    <col min="2055" max="2055" width="13.42578125" style="123" customWidth="1"/>
    <col min="2056" max="2304" width="9.140625" style="123"/>
    <col min="2305" max="2305" width="49.140625" style="123" customWidth="1"/>
    <col min="2306" max="2306" width="20.7109375" style="123" customWidth="1"/>
    <col min="2307" max="2307" width="9.140625" style="123"/>
    <col min="2308" max="2308" width="11.85546875" style="123" customWidth="1"/>
    <col min="2309" max="2309" width="11.7109375" style="123" customWidth="1"/>
    <col min="2310" max="2310" width="12.42578125" style="123" customWidth="1"/>
    <col min="2311" max="2311" width="13.42578125" style="123" customWidth="1"/>
    <col min="2312" max="2560" width="9.140625" style="123"/>
    <col min="2561" max="2561" width="49.140625" style="123" customWidth="1"/>
    <col min="2562" max="2562" width="20.7109375" style="123" customWidth="1"/>
    <col min="2563" max="2563" width="9.140625" style="123"/>
    <col min="2564" max="2564" width="11.85546875" style="123" customWidth="1"/>
    <col min="2565" max="2565" width="11.7109375" style="123" customWidth="1"/>
    <col min="2566" max="2566" width="12.42578125" style="123" customWidth="1"/>
    <col min="2567" max="2567" width="13.42578125" style="123" customWidth="1"/>
    <col min="2568" max="2816" width="9.140625" style="123"/>
    <col min="2817" max="2817" width="49.140625" style="123" customWidth="1"/>
    <col min="2818" max="2818" width="20.7109375" style="123" customWidth="1"/>
    <col min="2819" max="2819" width="9.140625" style="123"/>
    <col min="2820" max="2820" width="11.85546875" style="123" customWidth="1"/>
    <col min="2821" max="2821" width="11.7109375" style="123" customWidth="1"/>
    <col min="2822" max="2822" width="12.42578125" style="123" customWidth="1"/>
    <col min="2823" max="2823" width="13.42578125" style="123" customWidth="1"/>
    <col min="2824" max="3072" width="9.140625" style="123"/>
    <col min="3073" max="3073" width="49.140625" style="123" customWidth="1"/>
    <col min="3074" max="3074" width="20.7109375" style="123" customWidth="1"/>
    <col min="3075" max="3075" width="9.140625" style="123"/>
    <col min="3076" max="3076" width="11.85546875" style="123" customWidth="1"/>
    <col min="3077" max="3077" width="11.7109375" style="123" customWidth="1"/>
    <col min="3078" max="3078" width="12.42578125" style="123" customWidth="1"/>
    <col min="3079" max="3079" width="13.42578125" style="123" customWidth="1"/>
    <col min="3080" max="3328" width="9.140625" style="123"/>
    <col min="3329" max="3329" width="49.140625" style="123" customWidth="1"/>
    <col min="3330" max="3330" width="20.7109375" style="123" customWidth="1"/>
    <col min="3331" max="3331" width="9.140625" style="123"/>
    <col min="3332" max="3332" width="11.85546875" style="123" customWidth="1"/>
    <col min="3333" max="3333" width="11.7109375" style="123" customWidth="1"/>
    <col min="3334" max="3334" width="12.42578125" style="123" customWidth="1"/>
    <col min="3335" max="3335" width="13.42578125" style="123" customWidth="1"/>
    <col min="3336" max="3584" width="9.140625" style="123"/>
    <col min="3585" max="3585" width="49.140625" style="123" customWidth="1"/>
    <col min="3586" max="3586" width="20.7109375" style="123" customWidth="1"/>
    <col min="3587" max="3587" width="9.140625" style="123"/>
    <col min="3588" max="3588" width="11.85546875" style="123" customWidth="1"/>
    <col min="3589" max="3589" width="11.7109375" style="123" customWidth="1"/>
    <col min="3590" max="3590" width="12.42578125" style="123" customWidth="1"/>
    <col min="3591" max="3591" width="13.42578125" style="123" customWidth="1"/>
    <col min="3592" max="3840" width="9.140625" style="123"/>
    <col min="3841" max="3841" width="49.140625" style="123" customWidth="1"/>
    <col min="3842" max="3842" width="20.7109375" style="123" customWidth="1"/>
    <col min="3843" max="3843" width="9.140625" style="123"/>
    <col min="3844" max="3844" width="11.85546875" style="123" customWidth="1"/>
    <col min="3845" max="3845" width="11.7109375" style="123" customWidth="1"/>
    <col min="3846" max="3846" width="12.42578125" style="123" customWidth="1"/>
    <col min="3847" max="3847" width="13.42578125" style="123" customWidth="1"/>
    <col min="3848" max="4096" width="9.140625" style="123"/>
    <col min="4097" max="4097" width="49.140625" style="123" customWidth="1"/>
    <col min="4098" max="4098" width="20.7109375" style="123" customWidth="1"/>
    <col min="4099" max="4099" width="9.140625" style="123"/>
    <col min="4100" max="4100" width="11.85546875" style="123" customWidth="1"/>
    <col min="4101" max="4101" width="11.7109375" style="123" customWidth="1"/>
    <col min="4102" max="4102" width="12.42578125" style="123" customWidth="1"/>
    <col min="4103" max="4103" width="13.42578125" style="123" customWidth="1"/>
    <col min="4104" max="4352" width="9.140625" style="123"/>
    <col min="4353" max="4353" width="49.140625" style="123" customWidth="1"/>
    <col min="4354" max="4354" width="20.7109375" style="123" customWidth="1"/>
    <col min="4355" max="4355" width="9.140625" style="123"/>
    <col min="4356" max="4356" width="11.85546875" style="123" customWidth="1"/>
    <col min="4357" max="4357" width="11.7109375" style="123" customWidth="1"/>
    <col min="4358" max="4358" width="12.42578125" style="123" customWidth="1"/>
    <col min="4359" max="4359" width="13.42578125" style="123" customWidth="1"/>
    <col min="4360" max="4608" width="9.140625" style="123"/>
    <col min="4609" max="4609" width="49.140625" style="123" customWidth="1"/>
    <col min="4610" max="4610" width="20.7109375" style="123" customWidth="1"/>
    <col min="4611" max="4611" width="9.140625" style="123"/>
    <col min="4612" max="4612" width="11.85546875" style="123" customWidth="1"/>
    <col min="4613" max="4613" width="11.7109375" style="123" customWidth="1"/>
    <col min="4614" max="4614" width="12.42578125" style="123" customWidth="1"/>
    <col min="4615" max="4615" width="13.42578125" style="123" customWidth="1"/>
    <col min="4616" max="4864" width="9.140625" style="123"/>
    <col min="4865" max="4865" width="49.140625" style="123" customWidth="1"/>
    <col min="4866" max="4866" width="20.7109375" style="123" customWidth="1"/>
    <col min="4867" max="4867" width="9.140625" style="123"/>
    <col min="4868" max="4868" width="11.85546875" style="123" customWidth="1"/>
    <col min="4869" max="4869" width="11.7109375" style="123" customWidth="1"/>
    <col min="4870" max="4870" width="12.42578125" style="123" customWidth="1"/>
    <col min="4871" max="4871" width="13.42578125" style="123" customWidth="1"/>
    <col min="4872" max="5120" width="9.140625" style="123"/>
    <col min="5121" max="5121" width="49.140625" style="123" customWidth="1"/>
    <col min="5122" max="5122" width="20.7109375" style="123" customWidth="1"/>
    <col min="5123" max="5123" width="9.140625" style="123"/>
    <col min="5124" max="5124" width="11.85546875" style="123" customWidth="1"/>
    <col min="5125" max="5125" width="11.7109375" style="123" customWidth="1"/>
    <col min="5126" max="5126" width="12.42578125" style="123" customWidth="1"/>
    <col min="5127" max="5127" width="13.42578125" style="123" customWidth="1"/>
    <col min="5128" max="5376" width="9.140625" style="123"/>
    <col min="5377" max="5377" width="49.140625" style="123" customWidth="1"/>
    <col min="5378" max="5378" width="20.7109375" style="123" customWidth="1"/>
    <col min="5379" max="5379" width="9.140625" style="123"/>
    <col min="5380" max="5380" width="11.85546875" style="123" customWidth="1"/>
    <col min="5381" max="5381" width="11.7109375" style="123" customWidth="1"/>
    <col min="5382" max="5382" width="12.42578125" style="123" customWidth="1"/>
    <col min="5383" max="5383" width="13.42578125" style="123" customWidth="1"/>
    <col min="5384" max="5632" width="9.140625" style="123"/>
    <col min="5633" max="5633" width="49.140625" style="123" customWidth="1"/>
    <col min="5634" max="5634" width="20.7109375" style="123" customWidth="1"/>
    <col min="5635" max="5635" width="9.140625" style="123"/>
    <col min="5636" max="5636" width="11.85546875" style="123" customWidth="1"/>
    <col min="5637" max="5637" width="11.7109375" style="123" customWidth="1"/>
    <col min="5638" max="5638" width="12.42578125" style="123" customWidth="1"/>
    <col min="5639" max="5639" width="13.42578125" style="123" customWidth="1"/>
    <col min="5640" max="5888" width="9.140625" style="123"/>
    <col min="5889" max="5889" width="49.140625" style="123" customWidth="1"/>
    <col min="5890" max="5890" width="20.7109375" style="123" customWidth="1"/>
    <col min="5891" max="5891" width="9.140625" style="123"/>
    <col min="5892" max="5892" width="11.85546875" style="123" customWidth="1"/>
    <col min="5893" max="5893" width="11.7109375" style="123" customWidth="1"/>
    <col min="5894" max="5894" width="12.42578125" style="123" customWidth="1"/>
    <col min="5895" max="5895" width="13.42578125" style="123" customWidth="1"/>
    <col min="5896" max="6144" width="9.140625" style="123"/>
    <col min="6145" max="6145" width="49.140625" style="123" customWidth="1"/>
    <col min="6146" max="6146" width="20.7109375" style="123" customWidth="1"/>
    <col min="6147" max="6147" width="9.140625" style="123"/>
    <col min="6148" max="6148" width="11.85546875" style="123" customWidth="1"/>
    <col min="6149" max="6149" width="11.7109375" style="123" customWidth="1"/>
    <col min="6150" max="6150" width="12.42578125" style="123" customWidth="1"/>
    <col min="6151" max="6151" width="13.42578125" style="123" customWidth="1"/>
    <col min="6152" max="6400" width="9.140625" style="123"/>
    <col min="6401" max="6401" width="49.140625" style="123" customWidth="1"/>
    <col min="6402" max="6402" width="20.7109375" style="123" customWidth="1"/>
    <col min="6403" max="6403" width="9.140625" style="123"/>
    <col min="6404" max="6404" width="11.85546875" style="123" customWidth="1"/>
    <col min="6405" max="6405" width="11.7109375" style="123" customWidth="1"/>
    <col min="6406" max="6406" width="12.42578125" style="123" customWidth="1"/>
    <col min="6407" max="6407" width="13.42578125" style="123" customWidth="1"/>
    <col min="6408" max="6656" width="9.140625" style="123"/>
    <col min="6657" max="6657" width="49.140625" style="123" customWidth="1"/>
    <col min="6658" max="6658" width="20.7109375" style="123" customWidth="1"/>
    <col min="6659" max="6659" width="9.140625" style="123"/>
    <col min="6660" max="6660" width="11.85546875" style="123" customWidth="1"/>
    <col min="6661" max="6661" width="11.7109375" style="123" customWidth="1"/>
    <col min="6662" max="6662" width="12.42578125" style="123" customWidth="1"/>
    <col min="6663" max="6663" width="13.42578125" style="123" customWidth="1"/>
    <col min="6664" max="6912" width="9.140625" style="123"/>
    <col min="6913" max="6913" width="49.140625" style="123" customWidth="1"/>
    <col min="6914" max="6914" width="20.7109375" style="123" customWidth="1"/>
    <col min="6915" max="6915" width="9.140625" style="123"/>
    <col min="6916" max="6916" width="11.85546875" style="123" customWidth="1"/>
    <col min="6917" max="6917" width="11.7109375" style="123" customWidth="1"/>
    <col min="6918" max="6918" width="12.42578125" style="123" customWidth="1"/>
    <col min="6919" max="6919" width="13.42578125" style="123" customWidth="1"/>
    <col min="6920" max="7168" width="9.140625" style="123"/>
    <col min="7169" max="7169" width="49.140625" style="123" customWidth="1"/>
    <col min="7170" max="7170" width="20.7109375" style="123" customWidth="1"/>
    <col min="7171" max="7171" width="9.140625" style="123"/>
    <col min="7172" max="7172" width="11.85546875" style="123" customWidth="1"/>
    <col min="7173" max="7173" width="11.7109375" style="123" customWidth="1"/>
    <col min="7174" max="7174" width="12.42578125" style="123" customWidth="1"/>
    <col min="7175" max="7175" width="13.42578125" style="123" customWidth="1"/>
    <col min="7176" max="7424" width="9.140625" style="123"/>
    <col min="7425" max="7425" width="49.140625" style="123" customWidth="1"/>
    <col min="7426" max="7426" width="20.7109375" style="123" customWidth="1"/>
    <col min="7427" max="7427" width="9.140625" style="123"/>
    <col min="7428" max="7428" width="11.85546875" style="123" customWidth="1"/>
    <col min="7429" max="7429" width="11.7109375" style="123" customWidth="1"/>
    <col min="7430" max="7430" width="12.42578125" style="123" customWidth="1"/>
    <col min="7431" max="7431" width="13.42578125" style="123" customWidth="1"/>
    <col min="7432" max="7680" width="9.140625" style="123"/>
    <col min="7681" max="7681" width="49.140625" style="123" customWidth="1"/>
    <col min="7682" max="7682" width="20.7109375" style="123" customWidth="1"/>
    <col min="7683" max="7683" width="9.140625" style="123"/>
    <col min="7684" max="7684" width="11.85546875" style="123" customWidth="1"/>
    <col min="7685" max="7685" width="11.7109375" style="123" customWidth="1"/>
    <col min="7686" max="7686" width="12.42578125" style="123" customWidth="1"/>
    <col min="7687" max="7687" width="13.42578125" style="123" customWidth="1"/>
    <col min="7688" max="7936" width="9.140625" style="123"/>
    <col min="7937" max="7937" width="49.140625" style="123" customWidth="1"/>
    <col min="7938" max="7938" width="20.7109375" style="123" customWidth="1"/>
    <col min="7939" max="7939" width="9.140625" style="123"/>
    <col min="7940" max="7940" width="11.85546875" style="123" customWidth="1"/>
    <col min="7941" max="7941" width="11.7109375" style="123" customWidth="1"/>
    <col min="7942" max="7942" width="12.42578125" style="123" customWidth="1"/>
    <col min="7943" max="7943" width="13.42578125" style="123" customWidth="1"/>
    <col min="7944" max="8192" width="9.140625" style="123"/>
    <col min="8193" max="8193" width="49.140625" style="123" customWidth="1"/>
    <col min="8194" max="8194" width="20.7109375" style="123" customWidth="1"/>
    <col min="8195" max="8195" width="9.140625" style="123"/>
    <col min="8196" max="8196" width="11.85546875" style="123" customWidth="1"/>
    <col min="8197" max="8197" width="11.7109375" style="123" customWidth="1"/>
    <col min="8198" max="8198" width="12.42578125" style="123" customWidth="1"/>
    <col min="8199" max="8199" width="13.42578125" style="123" customWidth="1"/>
    <col min="8200" max="8448" width="9.140625" style="123"/>
    <col min="8449" max="8449" width="49.140625" style="123" customWidth="1"/>
    <col min="8450" max="8450" width="20.7109375" style="123" customWidth="1"/>
    <col min="8451" max="8451" width="9.140625" style="123"/>
    <col min="8452" max="8452" width="11.85546875" style="123" customWidth="1"/>
    <col min="8453" max="8453" width="11.7109375" style="123" customWidth="1"/>
    <col min="8454" max="8454" width="12.42578125" style="123" customWidth="1"/>
    <col min="8455" max="8455" width="13.42578125" style="123" customWidth="1"/>
    <col min="8456" max="8704" width="9.140625" style="123"/>
    <col min="8705" max="8705" width="49.140625" style="123" customWidth="1"/>
    <col min="8706" max="8706" width="20.7109375" style="123" customWidth="1"/>
    <col min="8707" max="8707" width="9.140625" style="123"/>
    <col min="8708" max="8708" width="11.85546875" style="123" customWidth="1"/>
    <col min="8709" max="8709" width="11.7109375" style="123" customWidth="1"/>
    <col min="8710" max="8710" width="12.42578125" style="123" customWidth="1"/>
    <col min="8711" max="8711" width="13.42578125" style="123" customWidth="1"/>
    <col min="8712" max="8960" width="9.140625" style="123"/>
    <col min="8961" max="8961" width="49.140625" style="123" customWidth="1"/>
    <col min="8962" max="8962" width="20.7109375" style="123" customWidth="1"/>
    <col min="8963" max="8963" width="9.140625" style="123"/>
    <col min="8964" max="8964" width="11.85546875" style="123" customWidth="1"/>
    <col min="8965" max="8965" width="11.7109375" style="123" customWidth="1"/>
    <col min="8966" max="8966" width="12.42578125" style="123" customWidth="1"/>
    <col min="8967" max="8967" width="13.42578125" style="123" customWidth="1"/>
    <col min="8968" max="9216" width="9.140625" style="123"/>
    <col min="9217" max="9217" width="49.140625" style="123" customWidth="1"/>
    <col min="9218" max="9218" width="20.7109375" style="123" customWidth="1"/>
    <col min="9219" max="9219" width="9.140625" style="123"/>
    <col min="9220" max="9220" width="11.85546875" style="123" customWidth="1"/>
    <col min="9221" max="9221" width="11.7109375" style="123" customWidth="1"/>
    <col min="9222" max="9222" width="12.42578125" style="123" customWidth="1"/>
    <col min="9223" max="9223" width="13.42578125" style="123" customWidth="1"/>
    <col min="9224" max="9472" width="9.140625" style="123"/>
    <col min="9473" max="9473" width="49.140625" style="123" customWidth="1"/>
    <col min="9474" max="9474" width="20.7109375" style="123" customWidth="1"/>
    <col min="9475" max="9475" width="9.140625" style="123"/>
    <col min="9476" max="9476" width="11.85546875" style="123" customWidth="1"/>
    <col min="9477" max="9477" width="11.7109375" style="123" customWidth="1"/>
    <col min="9478" max="9478" width="12.42578125" style="123" customWidth="1"/>
    <col min="9479" max="9479" width="13.42578125" style="123" customWidth="1"/>
    <col min="9480" max="9728" width="9.140625" style="123"/>
    <col min="9729" max="9729" width="49.140625" style="123" customWidth="1"/>
    <col min="9730" max="9730" width="20.7109375" style="123" customWidth="1"/>
    <col min="9731" max="9731" width="9.140625" style="123"/>
    <col min="9732" max="9732" width="11.85546875" style="123" customWidth="1"/>
    <col min="9733" max="9733" width="11.7109375" style="123" customWidth="1"/>
    <col min="9734" max="9734" width="12.42578125" style="123" customWidth="1"/>
    <col min="9735" max="9735" width="13.42578125" style="123" customWidth="1"/>
    <col min="9736" max="9984" width="9.140625" style="123"/>
    <col min="9985" max="9985" width="49.140625" style="123" customWidth="1"/>
    <col min="9986" max="9986" width="20.7109375" style="123" customWidth="1"/>
    <col min="9987" max="9987" width="9.140625" style="123"/>
    <col min="9988" max="9988" width="11.85546875" style="123" customWidth="1"/>
    <col min="9989" max="9989" width="11.7109375" style="123" customWidth="1"/>
    <col min="9990" max="9990" width="12.42578125" style="123" customWidth="1"/>
    <col min="9991" max="9991" width="13.42578125" style="123" customWidth="1"/>
    <col min="9992" max="10240" width="9.140625" style="123"/>
    <col min="10241" max="10241" width="49.140625" style="123" customWidth="1"/>
    <col min="10242" max="10242" width="20.7109375" style="123" customWidth="1"/>
    <col min="10243" max="10243" width="9.140625" style="123"/>
    <col min="10244" max="10244" width="11.85546875" style="123" customWidth="1"/>
    <col min="10245" max="10245" width="11.7109375" style="123" customWidth="1"/>
    <col min="10246" max="10246" width="12.42578125" style="123" customWidth="1"/>
    <col min="10247" max="10247" width="13.42578125" style="123" customWidth="1"/>
    <col min="10248" max="10496" width="9.140625" style="123"/>
    <col min="10497" max="10497" width="49.140625" style="123" customWidth="1"/>
    <col min="10498" max="10498" width="20.7109375" style="123" customWidth="1"/>
    <col min="10499" max="10499" width="9.140625" style="123"/>
    <col min="10500" max="10500" width="11.85546875" style="123" customWidth="1"/>
    <col min="10501" max="10501" width="11.7109375" style="123" customWidth="1"/>
    <col min="10502" max="10502" width="12.42578125" style="123" customWidth="1"/>
    <col min="10503" max="10503" width="13.42578125" style="123" customWidth="1"/>
    <col min="10504" max="10752" width="9.140625" style="123"/>
    <col min="10753" max="10753" width="49.140625" style="123" customWidth="1"/>
    <col min="10754" max="10754" width="20.7109375" style="123" customWidth="1"/>
    <col min="10755" max="10755" width="9.140625" style="123"/>
    <col min="10756" max="10756" width="11.85546875" style="123" customWidth="1"/>
    <col min="10757" max="10757" width="11.7109375" style="123" customWidth="1"/>
    <col min="10758" max="10758" width="12.42578125" style="123" customWidth="1"/>
    <col min="10759" max="10759" width="13.42578125" style="123" customWidth="1"/>
    <col min="10760" max="11008" width="9.140625" style="123"/>
    <col min="11009" max="11009" width="49.140625" style="123" customWidth="1"/>
    <col min="11010" max="11010" width="20.7109375" style="123" customWidth="1"/>
    <col min="11011" max="11011" width="9.140625" style="123"/>
    <col min="11012" max="11012" width="11.85546875" style="123" customWidth="1"/>
    <col min="11013" max="11013" width="11.7109375" style="123" customWidth="1"/>
    <col min="11014" max="11014" width="12.42578125" style="123" customWidth="1"/>
    <col min="11015" max="11015" width="13.42578125" style="123" customWidth="1"/>
    <col min="11016" max="11264" width="9.140625" style="123"/>
    <col min="11265" max="11265" width="49.140625" style="123" customWidth="1"/>
    <col min="11266" max="11266" width="20.7109375" style="123" customWidth="1"/>
    <col min="11267" max="11267" width="9.140625" style="123"/>
    <col min="11268" max="11268" width="11.85546875" style="123" customWidth="1"/>
    <col min="11269" max="11269" width="11.7109375" style="123" customWidth="1"/>
    <col min="11270" max="11270" width="12.42578125" style="123" customWidth="1"/>
    <col min="11271" max="11271" width="13.42578125" style="123" customWidth="1"/>
    <col min="11272" max="11520" width="9.140625" style="123"/>
    <col min="11521" max="11521" width="49.140625" style="123" customWidth="1"/>
    <col min="11522" max="11522" width="20.7109375" style="123" customWidth="1"/>
    <col min="11523" max="11523" width="9.140625" style="123"/>
    <col min="11524" max="11524" width="11.85546875" style="123" customWidth="1"/>
    <col min="11525" max="11525" width="11.7109375" style="123" customWidth="1"/>
    <col min="11526" max="11526" width="12.42578125" style="123" customWidth="1"/>
    <col min="11527" max="11527" width="13.42578125" style="123" customWidth="1"/>
    <col min="11528" max="11776" width="9.140625" style="123"/>
    <col min="11777" max="11777" width="49.140625" style="123" customWidth="1"/>
    <col min="11778" max="11778" width="20.7109375" style="123" customWidth="1"/>
    <col min="11779" max="11779" width="9.140625" style="123"/>
    <col min="11780" max="11780" width="11.85546875" style="123" customWidth="1"/>
    <col min="11781" max="11781" width="11.7109375" style="123" customWidth="1"/>
    <col min="11782" max="11782" width="12.42578125" style="123" customWidth="1"/>
    <col min="11783" max="11783" width="13.42578125" style="123" customWidth="1"/>
    <col min="11784" max="12032" width="9.140625" style="123"/>
    <col min="12033" max="12033" width="49.140625" style="123" customWidth="1"/>
    <col min="12034" max="12034" width="20.7109375" style="123" customWidth="1"/>
    <col min="12035" max="12035" width="9.140625" style="123"/>
    <col min="12036" max="12036" width="11.85546875" style="123" customWidth="1"/>
    <col min="12037" max="12037" width="11.7109375" style="123" customWidth="1"/>
    <col min="12038" max="12038" width="12.42578125" style="123" customWidth="1"/>
    <col min="12039" max="12039" width="13.42578125" style="123" customWidth="1"/>
    <col min="12040" max="12288" width="9.140625" style="123"/>
    <col min="12289" max="12289" width="49.140625" style="123" customWidth="1"/>
    <col min="12290" max="12290" width="20.7109375" style="123" customWidth="1"/>
    <col min="12291" max="12291" width="9.140625" style="123"/>
    <col min="12292" max="12292" width="11.85546875" style="123" customWidth="1"/>
    <col min="12293" max="12293" width="11.7109375" style="123" customWidth="1"/>
    <col min="12294" max="12294" width="12.42578125" style="123" customWidth="1"/>
    <col min="12295" max="12295" width="13.42578125" style="123" customWidth="1"/>
    <col min="12296" max="12544" width="9.140625" style="123"/>
    <col min="12545" max="12545" width="49.140625" style="123" customWidth="1"/>
    <col min="12546" max="12546" width="20.7109375" style="123" customWidth="1"/>
    <col min="12547" max="12547" width="9.140625" style="123"/>
    <col min="12548" max="12548" width="11.85546875" style="123" customWidth="1"/>
    <col min="12549" max="12549" width="11.7109375" style="123" customWidth="1"/>
    <col min="12550" max="12550" width="12.42578125" style="123" customWidth="1"/>
    <col min="12551" max="12551" width="13.42578125" style="123" customWidth="1"/>
    <col min="12552" max="12800" width="9.140625" style="123"/>
    <col min="12801" max="12801" width="49.140625" style="123" customWidth="1"/>
    <col min="12802" max="12802" width="20.7109375" style="123" customWidth="1"/>
    <col min="12803" max="12803" width="9.140625" style="123"/>
    <col min="12804" max="12804" width="11.85546875" style="123" customWidth="1"/>
    <col min="12805" max="12805" width="11.7109375" style="123" customWidth="1"/>
    <col min="12806" max="12806" width="12.42578125" style="123" customWidth="1"/>
    <col min="12807" max="12807" width="13.42578125" style="123" customWidth="1"/>
    <col min="12808" max="13056" width="9.140625" style="123"/>
    <col min="13057" max="13057" width="49.140625" style="123" customWidth="1"/>
    <col min="13058" max="13058" width="20.7109375" style="123" customWidth="1"/>
    <col min="13059" max="13059" width="9.140625" style="123"/>
    <col min="13060" max="13060" width="11.85546875" style="123" customWidth="1"/>
    <col min="13061" max="13061" width="11.7109375" style="123" customWidth="1"/>
    <col min="13062" max="13062" width="12.42578125" style="123" customWidth="1"/>
    <col min="13063" max="13063" width="13.42578125" style="123" customWidth="1"/>
    <col min="13064" max="13312" width="9.140625" style="123"/>
    <col min="13313" max="13313" width="49.140625" style="123" customWidth="1"/>
    <col min="13314" max="13314" width="20.7109375" style="123" customWidth="1"/>
    <col min="13315" max="13315" width="9.140625" style="123"/>
    <col min="13316" max="13316" width="11.85546875" style="123" customWidth="1"/>
    <col min="13317" max="13317" width="11.7109375" style="123" customWidth="1"/>
    <col min="13318" max="13318" width="12.42578125" style="123" customWidth="1"/>
    <col min="13319" max="13319" width="13.42578125" style="123" customWidth="1"/>
    <col min="13320" max="13568" width="9.140625" style="123"/>
    <col min="13569" max="13569" width="49.140625" style="123" customWidth="1"/>
    <col min="13570" max="13570" width="20.7109375" style="123" customWidth="1"/>
    <col min="13571" max="13571" width="9.140625" style="123"/>
    <col min="13572" max="13572" width="11.85546875" style="123" customWidth="1"/>
    <col min="13573" max="13573" width="11.7109375" style="123" customWidth="1"/>
    <col min="13574" max="13574" width="12.42578125" style="123" customWidth="1"/>
    <col min="13575" max="13575" width="13.42578125" style="123" customWidth="1"/>
    <col min="13576" max="13824" width="9.140625" style="123"/>
    <col min="13825" max="13825" width="49.140625" style="123" customWidth="1"/>
    <col min="13826" max="13826" width="20.7109375" style="123" customWidth="1"/>
    <col min="13827" max="13827" width="9.140625" style="123"/>
    <col min="13828" max="13828" width="11.85546875" style="123" customWidth="1"/>
    <col min="13829" max="13829" width="11.7109375" style="123" customWidth="1"/>
    <col min="13830" max="13830" width="12.42578125" style="123" customWidth="1"/>
    <col min="13831" max="13831" width="13.42578125" style="123" customWidth="1"/>
    <col min="13832" max="14080" width="9.140625" style="123"/>
    <col min="14081" max="14081" width="49.140625" style="123" customWidth="1"/>
    <col min="14082" max="14082" width="20.7109375" style="123" customWidth="1"/>
    <col min="14083" max="14083" width="9.140625" style="123"/>
    <col min="14084" max="14084" width="11.85546875" style="123" customWidth="1"/>
    <col min="14085" max="14085" width="11.7109375" style="123" customWidth="1"/>
    <col min="14086" max="14086" width="12.42578125" style="123" customWidth="1"/>
    <col min="14087" max="14087" width="13.42578125" style="123" customWidth="1"/>
    <col min="14088" max="14336" width="9.140625" style="123"/>
    <col min="14337" max="14337" width="49.140625" style="123" customWidth="1"/>
    <col min="14338" max="14338" width="20.7109375" style="123" customWidth="1"/>
    <col min="14339" max="14339" width="9.140625" style="123"/>
    <col min="14340" max="14340" width="11.85546875" style="123" customWidth="1"/>
    <col min="14341" max="14341" width="11.7109375" style="123" customWidth="1"/>
    <col min="14342" max="14342" width="12.42578125" style="123" customWidth="1"/>
    <col min="14343" max="14343" width="13.42578125" style="123" customWidth="1"/>
    <col min="14344" max="14592" width="9.140625" style="123"/>
    <col min="14593" max="14593" width="49.140625" style="123" customWidth="1"/>
    <col min="14594" max="14594" width="20.7109375" style="123" customWidth="1"/>
    <col min="14595" max="14595" width="9.140625" style="123"/>
    <col min="14596" max="14596" width="11.85546875" style="123" customWidth="1"/>
    <col min="14597" max="14597" width="11.7109375" style="123" customWidth="1"/>
    <col min="14598" max="14598" width="12.42578125" style="123" customWidth="1"/>
    <col min="14599" max="14599" width="13.42578125" style="123" customWidth="1"/>
    <col min="14600" max="14848" width="9.140625" style="123"/>
    <col min="14849" max="14849" width="49.140625" style="123" customWidth="1"/>
    <col min="14850" max="14850" width="20.7109375" style="123" customWidth="1"/>
    <col min="14851" max="14851" width="9.140625" style="123"/>
    <col min="14852" max="14852" width="11.85546875" style="123" customWidth="1"/>
    <col min="14853" max="14853" width="11.7109375" style="123" customWidth="1"/>
    <col min="14854" max="14854" width="12.42578125" style="123" customWidth="1"/>
    <col min="14855" max="14855" width="13.42578125" style="123" customWidth="1"/>
    <col min="14856" max="15104" width="9.140625" style="123"/>
    <col min="15105" max="15105" width="49.140625" style="123" customWidth="1"/>
    <col min="15106" max="15106" width="20.7109375" style="123" customWidth="1"/>
    <col min="15107" max="15107" width="9.140625" style="123"/>
    <col min="15108" max="15108" width="11.85546875" style="123" customWidth="1"/>
    <col min="15109" max="15109" width="11.7109375" style="123" customWidth="1"/>
    <col min="15110" max="15110" width="12.42578125" style="123" customWidth="1"/>
    <col min="15111" max="15111" width="13.42578125" style="123" customWidth="1"/>
    <col min="15112" max="15360" width="9.140625" style="123"/>
    <col min="15361" max="15361" width="49.140625" style="123" customWidth="1"/>
    <col min="15362" max="15362" width="20.7109375" style="123" customWidth="1"/>
    <col min="15363" max="15363" width="9.140625" style="123"/>
    <col min="15364" max="15364" width="11.85546875" style="123" customWidth="1"/>
    <col min="15365" max="15365" width="11.7109375" style="123" customWidth="1"/>
    <col min="15366" max="15366" width="12.42578125" style="123" customWidth="1"/>
    <col min="15367" max="15367" width="13.42578125" style="123" customWidth="1"/>
    <col min="15368" max="15616" width="9.140625" style="123"/>
    <col min="15617" max="15617" width="49.140625" style="123" customWidth="1"/>
    <col min="15618" max="15618" width="20.7109375" style="123" customWidth="1"/>
    <col min="15619" max="15619" width="9.140625" style="123"/>
    <col min="15620" max="15620" width="11.85546875" style="123" customWidth="1"/>
    <col min="15621" max="15621" width="11.7109375" style="123" customWidth="1"/>
    <col min="15622" max="15622" width="12.42578125" style="123" customWidth="1"/>
    <col min="15623" max="15623" width="13.42578125" style="123" customWidth="1"/>
    <col min="15624" max="15872" width="9.140625" style="123"/>
    <col min="15873" max="15873" width="49.140625" style="123" customWidth="1"/>
    <col min="15874" max="15874" width="20.7109375" style="123" customWidth="1"/>
    <col min="15875" max="15875" width="9.140625" style="123"/>
    <col min="15876" max="15876" width="11.85546875" style="123" customWidth="1"/>
    <col min="15877" max="15877" width="11.7109375" style="123" customWidth="1"/>
    <col min="15878" max="15878" width="12.42578125" style="123" customWidth="1"/>
    <col min="15879" max="15879" width="13.42578125" style="123" customWidth="1"/>
    <col min="15880" max="16128" width="9.140625" style="123"/>
    <col min="16129" max="16129" width="49.140625" style="123" customWidth="1"/>
    <col min="16130" max="16130" width="20.7109375" style="123" customWidth="1"/>
    <col min="16131" max="16131" width="9.140625" style="123"/>
    <col min="16132" max="16132" width="11.85546875" style="123" customWidth="1"/>
    <col min="16133" max="16133" width="11.7109375" style="123" customWidth="1"/>
    <col min="16134" max="16134" width="12.42578125" style="123" customWidth="1"/>
    <col min="16135" max="16135" width="13.42578125" style="123" customWidth="1"/>
    <col min="16136" max="16384" width="9.140625" style="123"/>
  </cols>
  <sheetData>
    <row r="1" spans="1:12" ht="20.100000000000001" customHeight="1">
      <c r="A1" s="1119" t="s">
        <v>446</v>
      </c>
      <c r="B1" s="1120"/>
      <c r="D1" s="1119" t="s">
        <v>445</v>
      </c>
      <c r="E1" s="1120"/>
      <c r="F1" s="124"/>
      <c r="G1" s="124"/>
      <c r="H1" s="124"/>
      <c r="I1" s="124"/>
      <c r="J1" s="124"/>
      <c r="K1" s="124"/>
      <c r="L1" s="124"/>
    </row>
    <row r="2" spans="1:12" ht="20.100000000000001" customHeight="1">
      <c r="A2" s="1121" t="s">
        <v>272</v>
      </c>
      <c r="B2" s="1122"/>
      <c r="D2" s="1121" t="s">
        <v>272</v>
      </c>
      <c r="E2" s="1122"/>
    </row>
    <row r="3" spans="1:12" ht="20.100000000000001" customHeight="1">
      <c r="A3" s="510" t="s">
        <v>273</v>
      </c>
      <c r="B3" s="511">
        <f>'Cashflow 350 KTPA'!K10</f>
        <v>3094.3312153271104</v>
      </c>
      <c r="D3" s="510" t="s">
        <v>273</v>
      </c>
      <c r="E3" s="511">
        <f>'Cashflow 500 KTPA'!K10</f>
        <v>4420.4731647530152</v>
      </c>
      <c r="F3" s="126"/>
      <c r="G3" s="125"/>
    </row>
    <row r="4" spans="1:12" ht="20.100000000000001" customHeight="1">
      <c r="A4" s="510" t="s">
        <v>274</v>
      </c>
      <c r="B4" s="512"/>
      <c r="D4" s="510" t="s">
        <v>274</v>
      </c>
      <c r="E4" s="512"/>
      <c r="F4" s="127"/>
      <c r="G4" s="127"/>
    </row>
    <row r="5" spans="1:12" ht="20.100000000000001" customHeight="1">
      <c r="A5" s="513" t="s">
        <v>447</v>
      </c>
      <c r="B5" s="514">
        <f>'Cashflow 350 KTPA'!K14+'Cashflow 350 KTPA'!K15</f>
        <v>1040.0541977649902</v>
      </c>
      <c r="D5" s="513" t="s">
        <v>447</v>
      </c>
      <c r="E5" s="514">
        <f>'Cashflow 500 KTPA'!J15+'Cashflow 500 KTPA'!J16</f>
        <v>1733.5934560587659</v>
      </c>
      <c r="F5" s="128"/>
      <c r="G5" s="129"/>
    </row>
    <row r="6" spans="1:12" ht="20.100000000000001" customHeight="1">
      <c r="A6" s="513" t="s">
        <v>17</v>
      </c>
      <c r="B6" s="514">
        <f>'Cashflow 350 KTPA'!K17</f>
        <v>179.39131484999996</v>
      </c>
      <c r="D6" s="513" t="s">
        <v>17</v>
      </c>
      <c r="E6" s="514">
        <f>'Cashflow 500 KTPA'!K18</f>
        <v>224.29620186874999</v>
      </c>
      <c r="F6" s="129"/>
      <c r="G6" s="129"/>
    </row>
    <row r="7" spans="1:12" ht="20.100000000000001" customHeight="1">
      <c r="A7" s="513" t="s">
        <v>15</v>
      </c>
      <c r="B7" s="514">
        <f>'Cashflow 350 KTPA'!K16</f>
        <v>30.708780423749996</v>
      </c>
      <c r="D7" s="513" t="s">
        <v>15</v>
      </c>
      <c r="E7" s="514">
        <f>'Cashflow 500 KTPA'!K17</f>
        <v>35.010976714999991</v>
      </c>
      <c r="F7" s="129"/>
      <c r="G7" s="129"/>
    </row>
    <row r="8" spans="1:12" ht="20.100000000000001" customHeight="1">
      <c r="A8" s="513" t="s">
        <v>21</v>
      </c>
      <c r="B8" s="514">
        <f>'Cashflow 350 KTPA'!K19</f>
        <v>88.771189675495322</v>
      </c>
      <c r="D8" s="513" t="s">
        <v>21</v>
      </c>
      <c r="E8" s="514">
        <f>'Cashflow 500 KTPA'!K20</f>
        <v>136.82556327537642</v>
      </c>
      <c r="F8" s="129"/>
      <c r="G8" s="129"/>
    </row>
    <row r="9" spans="1:12" ht="20.100000000000001" customHeight="1">
      <c r="A9" s="515" t="s">
        <v>275</v>
      </c>
      <c r="B9" s="511">
        <f>SUM(B5:B8)</f>
        <v>1338.9254827142354</v>
      </c>
      <c r="C9" s="130"/>
      <c r="D9" s="515" t="s">
        <v>275</v>
      </c>
      <c r="E9" s="511">
        <f>SUM(E5:E8)</f>
        <v>2129.726197917892</v>
      </c>
      <c r="F9" s="131"/>
      <c r="G9" s="131"/>
    </row>
    <row r="10" spans="1:12" ht="20.100000000000001" customHeight="1">
      <c r="A10" s="510" t="s">
        <v>276</v>
      </c>
      <c r="B10" s="511">
        <f>+B3-B9</f>
        <v>1755.405732612875</v>
      </c>
      <c r="D10" s="510" t="s">
        <v>276</v>
      </c>
      <c r="E10" s="511">
        <f>+E3-E9</f>
        <v>2290.7469668351232</v>
      </c>
      <c r="F10" s="131"/>
      <c r="G10" s="131"/>
      <c r="H10" s="125"/>
    </row>
    <row r="11" spans="1:12" ht="20.100000000000001" customHeight="1">
      <c r="A11" s="510" t="s">
        <v>277</v>
      </c>
      <c r="B11" s="512"/>
      <c r="D11" s="510" t="s">
        <v>277</v>
      </c>
      <c r="E11" s="512"/>
      <c r="F11" s="127"/>
      <c r="G11" s="127"/>
      <c r="H11" s="125"/>
    </row>
    <row r="12" spans="1:12" ht="20.100000000000001" customHeight="1">
      <c r="A12" s="513" t="s">
        <v>20</v>
      </c>
      <c r="B12" s="514">
        <f>'Cashflow 350 KTPA'!K18</f>
        <v>78.842457207074617</v>
      </c>
      <c r="D12" s="513" t="s">
        <v>20</v>
      </c>
      <c r="E12" s="514">
        <f>'Cashflow 500 KTPA'!K19</f>
        <v>114.01719891595445</v>
      </c>
      <c r="F12" s="125"/>
      <c r="G12" s="125"/>
      <c r="H12" s="125"/>
    </row>
    <row r="13" spans="1:12" ht="20.100000000000001" customHeight="1">
      <c r="A13" s="513" t="s">
        <v>471</v>
      </c>
      <c r="B13" s="514">
        <f>'Interest Calculation'!B25</f>
        <v>311.95873258559999</v>
      </c>
      <c r="D13" s="513" t="s">
        <v>471</v>
      </c>
      <c r="E13" s="514">
        <f>'Interest Calculation'!B12</f>
        <v>454.00876378559997</v>
      </c>
      <c r="F13" s="125"/>
      <c r="G13" s="125"/>
      <c r="H13" s="125"/>
    </row>
    <row r="14" spans="1:12" ht="20.100000000000001" customHeight="1">
      <c r="A14" s="513" t="s">
        <v>31</v>
      </c>
      <c r="B14" s="514">
        <f>'Cashflow 350 KTPA'!G8/10</f>
        <v>415.94497678079995</v>
      </c>
      <c r="D14" s="513" t="s">
        <v>31</v>
      </c>
      <c r="E14" s="514">
        <f>'Cashflow 500 KTPA'!G8/10</f>
        <v>605.34501838079996</v>
      </c>
      <c r="F14" s="125"/>
      <c r="G14" s="125"/>
      <c r="H14" s="132"/>
    </row>
    <row r="15" spans="1:12" ht="20.100000000000001" customHeight="1">
      <c r="A15" s="513" t="s">
        <v>144</v>
      </c>
      <c r="B15" s="511">
        <f>SUM(B12:B14)</f>
        <v>806.74616657347451</v>
      </c>
      <c r="D15" s="513" t="s">
        <v>144</v>
      </c>
      <c r="E15" s="511">
        <f>SUM(E12:E14)</f>
        <v>1173.3709810823543</v>
      </c>
      <c r="F15" s="125"/>
      <c r="G15" s="125"/>
      <c r="H15" s="132"/>
    </row>
    <row r="16" spans="1:12" ht="20.100000000000001" customHeight="1">
      <c r="A16" s="516" t="s">
        <v>278</v>
      </c>
      <c r="B16" s="517">
        <f>B15/B10</f>
        <v>0.45957817704779519</v>
      </c>
      <c r="D16" s="516" t="s">
        <v>278</v>
      </c>
      <c r="E16" s="517">
        <f>E15/E10</f>
        <v>0.51222199486461562</v>
      </c>
      <c r="F16" s="133"/>
      <c r="G16" s="133"/>
      <c r="H16" s="132"/>
      <c r="I16" s="124"/>
    </row>
    <row r="17" spans="1:8" ht="20.100000000000001" customHeight="1">
      <c r="A17" s="127"/>
      <c r="B17" s="127"/>
      <c r="G17" s="132"/>
      <c r="H17" s="132"/>
    </row>
    <row r="18" spans="1:8" ht="20.100000000000001" customHeight="1">
      <c r="A18" s="127"/>
      <c r="B18" s="127"/>
    </row>
  </sheetData>
  <mergeCells count="4">
    <mergeCell ref="A1:B1"/>
    <mergeCell ref="A2:B2"/>
    <mergeCell ref="D1:E1"/>
    <mergeCell ref="D2:E2"/>
  </mergeCells>
  <printOptions horizontalCentered="1" gridLines="1"/>
  <pageMargins left="1"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FE1-0462-4764-9171-E25F8EAF5FF4}">
  <sheetPr codeName="Sheet18"/>
  <dimension ref="A1:M27"/>
  <sheetViews>
    <sheetView showGridLines="0" topLeftCell="A9" zoomScaleNormal="100" zoomScaleSheetLayoutView="98" workbookViewId="0">
      <selection activeCell="C22" sqref="C22:C25"/>
    </sheetView>
  </sheetViews>
  <sheetFormatPr defaultRowHeight="12.75"/>
  <cols>
    <col min="1" max="1" width="4.85546875" style="123" customWidth="1"/>
    <col min="2" max="2" width="63.7109375" style="123" bestFit="1" customWidth="1"/>
    <col min="3" max="3" width="20.7109375" style="123" customWidth="1"/>
    <col min="4" max="4" width="9.140625" style="123"/>
    <col min="5" max="5" width="11.85546875" style="123" customWidth="1"/>
    <col min="6" max="6" width="11.7109375" style="123" customWidth="1"/>
    <col min="7" max="7" width="12.42578125" style="123" customWidth="1"/>
    <col min="8" max="8" width="13.42578125" style="123" customWidth="1"/>
    <col min="9" max="257" width="9.140625" style="123"/>
    <col min="258" max="258" width="49.140625" style="123" customWidth="1"/>
    <col min="259" max="259" width="20.7109375" style="123" customWidth="1"/>
    <col min="260" max="260" width="9.140625" style="123"/>
    <col min="261" max="261" width="11.85546875" style="123" customWidth="1"/>
    <col min="262" max="262" width="11.7109375" style="123" customWidth="1"/>
    <col min="263" max="263" width="12.42578125" style="123" customWidth="1"/>
    <col min="264" max="264" width="13.42578125" style="123" customWidth="1"/>
    <col min="265" max="513" width="9.140625" style="123"/>
    <col min="514" max="514" width="49.140625" style="123" customWidth="1"/>
    <col min="515" max="515" width="20.7109375" style="123" customWidth="1"/>
    <col min="516" max="516" width="9.140625" style="123"/>
    <col min="517" max="517" width="11.85546875" style="123" customWidth="1"/>
    <col min="518" max="518" width="11.7109375" style="123" customWidth="1"/>
    <col min="519" max="519" width="12.42578125" style="123" customWidth="1"/>
    <col min="520" max="520" width="13.42578125" style="123" customWidth="1"/>
    <col min="521" max="769" width="9.140625" style="123"/>
    <col min="770" max="770" width="49.140625" style="123" customWidth="1"/>
    <col min="771" max="771" width="20.7109375" style="123" customWidth="1"/>
    <col min="772" max="772" width="9.140625" style="123"/>
    <col min="773" max="773" width="11.85546875" style="123" customWidth="1"/>
    <col min="774" max="774" width="11.7109375" style="123" customWidth="1"/>
    <col min="775" max="775" width="12.42578125" style="123" customWidth="1"/>
    <col min="776" max="776" width="13.42578125" style="123" customWidth="1"/>
    <col min="777" max="1025" width="9.140625" style="123"/>
    <col min="1026" max="1026" width="49.140625" style="123" customWidth="1"/>
    <col min="1027" max="1027" width="20.7109375" style="123" customWidth="1"/>
    <col min="1028" max="1028" width="9.140625" style="123"/>
    <col min="1029" max="1029" width="11.85546875" style="123" customWidth="1"/>
    <col min="1030" max="1030" width="11.7109375" style="123" customWidth="1"/>
    <col min="1031" max="1031" width="12.42578125" style="123" customWidth="1"/>
    <col min="1032" max="1032" width="13.42578125" style="123" customWidth="1"/>
    <col min="1033" max="1281" width="9.140625" style="123"/>
    <col min="1282" max="1282" width="49.140625" style="123" customWidth="1"/>
    <col min="1283" max="1283" width="20.7109375" style="123" customWidth="1"/>
    <col min="1284" max="1284" width="9.140625" style="123"/>
    <col min="1285" max="1285" width="11.85546875" style="123" customWidth="1"/>
    <col min="1286" max="1286" width="11.7109375" style="123" customWidth="1"/>
    <col min="1287" max="1287" width="12.42578125" style="123" customWidth="1"/>
    <col min="1288" max="1288" width="13.42578125" style="123" customWidth="1"/>
    <col min="1289" max="1537" width="9.140625" style="123"/>
    <col min="1538" max="1538" width="49.140625" style="123" customWidth="1"/>
    <col min="1539" max="1539" width="20.7109375" style="123" customWidth="1"/>
    <col min="1540" max="1540" width="9.140625" style="123"/>
    <col min="1541" max="1541" width="11.85546875" style="123" customWidth="1"/>
    <col min="1542" max="1542" width="11.7109375" style="123" customWidth="1"/>
    <col min="1543" max="1543" width="12.42578125" style="123" customWidth="1"/>
    <col min="1544" max="1544" width="13.42578125" style="123" customWidth="1"/>
    <col min="1545" max="1793" width="9.140625" style="123"/>
    <col min="1794" max="1794" width="49.140625" style="123" customWidth="1"/>
    <col min="1795" max="1795" width="20.7109375" style="123" customWidth="1"/>
    <col min="1796" max="1796" width="9.140625" style="123"/>
    <col min="1797" max="1797" width="11.85546875" style="123" customWidth="1"/>
    <col min="1798" max="1798" width="11.7109375" style="123" customWidth="1"/>
    <col min="1799" max="1799" width="12.42578125" style="123" customWidth="1"/>
    <col min="1800" max="1800" width="13.42578125" style="123" customWidth="1"/>
    <col min="1801" max="2049" width="9.140625" style="123"/>
    <col min="2050" max="2050" width="49.140625" style="123" customWidth="1"/>
    <col min="2051" max="2051" width="20.7109375" style="123" customWidth="1"/>
    <col min="2052" max="2052" width="9.140625" style="123"/>
    <col min="2053" max="2053" width="11.85546875" style="123" customWidth="1"/>
    <col min="2054" max="2054" width="11.7109375" style="123" customWidth="1"/>
    <col min="2055" max="2055" width="12.42578125" style="123" customWidth="1"/>
    <col min="2056" max="2056" width="13.42578125" style="123" customWidth="1"/>
    <col min="2057" max="2305" width="9.140625" style="123"/>
    <col min="2306" max="2306" width="49.140625" style="123" customWidth="1"/>
    <col min="2307" max="2307" width="20.7109375" style="123" customWidth="1"/>
    <col min="2308" max="2308" width="9.140625" style="123"/>
    <col min="2309" max="2309" width="11.85546875" style="123" customWidth="1"/>
    <col min="2310" max="2310" width="11.7109375" style="123" customWidth="1"/>
    <col min="2311" max="2311" width="12.42578125" style="123" customWidth="1"/>
    <col min="2312" max="2312" width="13.42578125" style="123" customWidth="1"/>
    <col min="2313" max="2561" width="9.140625" style="123"/>
    <col min="2562" max="2562" width="49.140625" style="123" customWidth="1"/>
    <col min="2563" max="2563" width="20.7109375" style="123" customWidth="1"/>
    <col min="2564" max="2564" width="9.140625" style="123"/>
    <col min="2565" max="2565" width="11.85546875" style="123" customWidth="1"/>
    <col min="2566" max="2566" width="11.7109375" style="123" customWidth="1"/>
    <col min="2567" max="2567" width="12.42578125" style="123" customWidth="1"/>
    <col min="2568" max="2568" width="13.42578125" style="123" customWidth="1"/>
    <col min="2569" max="2817" width="9.140625" style="123"/>
    <col min="2818" max="2818" width="49.140625" style="123" customWidth="1"/>
    <col min="2819" max="2819" width="20.7109375" style="123" customWidth="1"/>
    <col min="2820" max="2820" width="9.140625" style="123"/>
    <col min="2821" max="2821" width="11.85546875" style="123" customWidth="1"/>
    <col min="2822" max="2822" width="11.7109375" style="123" customWidth="1"/>
    <col min="2823" max="2823" width="12.42578125" style="123" customWidth="1"/>
    <col min="2824" max="2824" width="13.42578125" style="123" customWidth="1"/>
    <col min="2825" max="3073" width="9.140625" style="123"/>
    <col min="3074" max="3074" width="49.140625" style="123" customWidth="1"/>
    <col min="3075" max="3075" width="20.7109375" style="123" customWidth="1"/>
    <col min="3076" max="3076" width="9.140625" style="123"/>
    <col min="3077" max="3077" width="11.85546875" style="123" customWidth="1"/>
    <col min="3078" max="3078" width="11.7109375" style="123" customWidth="1"/>
    <col min="3079" max="3079" width="12.42578125" style="123" customWidth="1"/>
    <col min="3080" max="3080" width="13.42578125" style="123" customWidth="1"/>
    <col min="3081" max="3329" width="9.140625" style="123"/>
    <col min="3330" max="3330" width="49.140625" style="123" customWidth="1"/>
    <col min="3331" max="3331" width="20.7109375" style="123" customWidth="1"/>
    <col min="3332" max="3332" width="9.140625" style="123"/>
    <col min="3333" max="3333" width="11.85546875" style="123" customWidth="1"/>
    <col min="3334" max="3334" width="11.7109375" style="123" customWidth="1"/>
    <col min="3335" max="3335" width="12.42578125" style="123" customWidth="1"/>
    <col min="3336" max="3336" width="13.42578125" style="123" customWidth="1"/>
    <col min="3337" max="3585" width="9.140625" style="123"/>
    <col min="3586" max="3586" width="49.140625" style="123" customWidth="1"/>
    <col min="3587" max="3587" width="20.7109375" style="123" customWidth="1"/>
    <col min="3588" max="3588" width="9.140625" style="123"/>
    <col min="3589" max="3589" width="11.85546875" style="123" customWidth="1"/>
    <col min="3590" max="3590" width="11.7109375" style="123" customWidth="1"/>
    <col min="3591" max="3591" width="12.42578125" style="123" customWidth="1"/>
    <col min="3592" max="3592" width="13.42578125" style="123" customWidth="1"/>
    <col min="3593" max="3841" width="9.140625" style="123"/>
    <col min="3842" max="3842" width="49.140625" style="123" customWidth="1"/>
    <col min="3843" max="3843" width="20.7109375" style="123" customWidth="1"/>
    <col min="3844" max="3844" width="9.140625" style="123"/>
    <col min="3845" max="3845" width="11.85546875" style="123" customWidth="1"/>
    <col min="3846" max="3846" width="11.7109375" style="123" customWidth="1"/>
    <col min="3847" max="3847" width="12.42578125" style="123" customWidth="1"/>
    <col min="3848" max="3848" width="13.42578125" style="123" customWidth="1"/>
    <col min="3849" max="4097" width="9.140625" style="123"/>
    <col min="4098" max="4098" width="49.140625" style="123" customWidth="1"/>
    <col min="4099" max="4099" width="20.7109375" style="123" customWidth="1"/>
    <col min="4100" max="4100" width="9.140625" style="123"/>
    <col min="4101" max="4101" width="11.85546875" style="123" customWidth="1"/>
    <col min="4102" max="4102" width="11.7109375" style="123" customWidth="1"/>
    <col min="4103" max="4103" width="12.42578125" style="123" customWidth="1"/>
    <col min="4104" max="4104" width="13.42578125" style="123" customWidth="1"/>
    <col min="4105" max="4353" width="9.140625" style="123"/>
    <col min="4354" max="4354" width="49.140625" style="123" customWidth="1"/>
    <col min="4355" max="4355" width="20.7109375" style="123" customWidth="1"/>
    <col min="4356" max="4356" width="9.140625" style="123"/>
    <col min="4357" max="4357" width="11.85546875" style="123" customWidth="1"/>
    <col min="4358" max="4358" width="11.7109375" style="123" customWidth="1"/>
    <col min="4359" max="4359" width="12.42578125" style="123" customWidth="1"/>
    <col min="4360" max="4360" width="13.42578125" style="123" customWidth="1"/>
    <col min="4361" max="4609" width="9.140625" style="123"/>
    <col min="4610" max="4610" width="49.140625" style="123" customWidth="1"/>
    <col min="4611" max="4611" width="20.7109375" style="123" customWidth="1"/>
    <col min="4612" max="4612" width="9.140625" style="123"/>
    <col min="4613" max="4613" width="11.85546875" style="123" customWidth="1"/>
    <col min="4614" max="4614" width="11.7109375" style="123" customWidth="1"/>
    <col min="4615" max="4615" width="12.42578125" style="123" customWidth="1"/>
    <col min="4616" max="4616" width="13.42578125" style="123" customWidth="1"/>
    <col min="4617" max="4865" width="9.140625" style="123"/>
    <col min="4866" max="4866" width="49.140625" style="123" customWidth="1"/>
    <col min="4867" max="4867" width="20.7109375" style="123" customWidth="1"/>
    <col min="4868" max="4868" width="9.140625" style="123"/>
    <col min="4869" max="4869" width="11.85546875" style="123" customWidth="1"/>
    <col min="4870" max="4870" width="11.7109375" style="123" customWidth="1"/>
    <col min="4871" max="4871" width="12.42578125" style="123" customWidth="1"/>
    <col min="4872" max="4872" width="13.42578125" style="123" customWidth="1"/>
    <col min="4873" max="5121" width="9.140625" style="123"/>
    <col min="5122" max="5122" width="49.140625" style="123" customWidth="1"/>
    <col min="5123" max="5123" width="20.7109375" style="123" customWidth="1"/>
    <col min="5124" max="5124" width="9.140625" style="123"/>
    <col min="5125" max="5125" width="11.85546875" style="123" customWidth="1"/>
    <col min="5126" max="5126" width="11.7109375" style="123" customWidth="1"/>
    <col min="5127" max="5127" width="12.42578125" style="123" customWidth="1"/>
    <col min="5128" max="5128" width="13.42578125" style="123" customWidth="1"/>
    <col min="5129" max="5377" width="9.140625" style="123"/>
    <col min="5378" max="5378" width="49.140625" style="123" customWidth="1"/>
    <col min="5379" max="5379" width="20.7109375" style="123" customWidth="1"/>
    <col min="5380" max="5380" width="9.140625" style="123"/>
    <col min="5381" max="5381" width="11.85546875" style="123" customWidth="1"/>
    <col min="5382" max="5382" width="11.7109375" style="123" customWidth="1"/>
    <col min="5383" max="5383" width="12.42578125" style="123" customWidth="1"/>
    <col min="5384" max="5384" width="13.42578125" style="123" customWidth="1"/>
    <col min="5385" max="5633" width="9.140625" style="123"/>
    <col min="5634" max="5634" width="49.140625" style="123" customWidth="1"/>
    <col min="5635" max="5635" width="20.7109375" style="123" customWidth="1"/>
    <col min="5636" max="5636" width="9.140625" style="123"/>
    <col min="5637" max="5637" width="11.85546875" style="123" customWidth="1"/>
    <col min="5638" max="5638" width="11.7109375" style="123" customWidth="1"/>
    <col min="5639" max="5639" width="12.42578125" style="123" customWidth="1"/>
    <col min="5640" max="5640" width="13.42578125" style="123" customWidth="1"/>
    <col min="5641" max="5889" width="9.140625" style="123"/>
    <col min="5890" max="5890" width="49.140625" style="123" customWidth="1"/>
    <col min="5891" max="5891" width="20.7109375" style="123" customWidth="1"/>
    <col min="5892" max="5892" width="9.140625" style="123"/>
    <col min="5893" max="5893" width="11.85546875" style="123" customWidth="1"/>
    <col min="5894" max="5894" width="11.7109375" style="123" customWidth="1"/>
    <col min="5895" max="5895" width="12.42578125" style="123" customWidth="1"/>
    <col min="5896" max="5896" width="13.42578125" style="123" customWidth="1"/>
    <col min="5897" max="6145" width="9.140625" style="123"/>
    <col min="6146" max="6146" width="49.140625" style="123" customWidth="1"/>
    <col min="6147" max="6147" width="20.7109375" style="123" customWidth="1"/>
    <col min="6148" max="6148" width="9.140625" style="123"/>
    <col min="6149" max="6149" width="11.85546875" style="123" customWidth="1"/>
    <col min="6150" max="6150" width="11.7109375" style="123" customWidth="1"/>
    <col min="6151" max="6151" width="12.42578125" style="123" customWidth="1"/>
    <col min="6152" max="6152" width="13.42578125" style="123" customWidth="1"/>
    <col min="6153" max="6401" width="9.140625" style="123"/>
    <col min="6402" max="6402" width="49.140625" style="123" customWidth="1"/>
    <col min="6403" max="6403" width="20.7109375" style="123" customWidth="1"/>
    <col min="6404" max="6404" width="9.140625" style="123"/>
    <col min="6405" max="6405" width="11.85546875" style="123" customWidth="1"/>
    <col min="6406" max="6406" width="11.7109375" style="123" customWidth="1"/>
    <col min="6407" max="6407" width="12.42578125" style="123" customWidth="1"/>
    <col min="6408" max="6408" width="13.42578125" style="123" customWidth="1"/>
    <col min="6409" max="6657" width="9.140625" style="123"/>
    <col min="6658" max="6658" width="49.140625" style="123" customWidth="1"/>
    <col min="6659" max="6659" width="20.7109375" style="123" customWidth="1"/>
    <col min="6660" max="6660" width="9.140625" style="123"/>
    <col min="6661" max="6661" width="11.85546875" style="123" customWidth="1"/>
    <col min="6662" max="6662" width="11.7109375" style="123" customWidth="1"/>
    <col min="6663" max="6663" width="12.42578125" style="123" customWidth="1"/>
    <col min="6664" max="6664" width="13.42578125" style="123" customWidth="1"/>
    <col min="6665" max="6913" width="9.140625" style="123"/>
    <col min="6914" max="6914" width="49.140625" style="123" customWidth="1"/>
    <col min="6915" max="6915" width="20.7109375" style="123" customWidth="1"/>
    <col min="6916" max="6916" width="9.140625" style="123"/>
    <col min="6917" max="6917" width="11.85546875" style="123" customWidth="1"/>
    <col min="6918" max="6918" width="11.7109375" style="123" customWidth="1"/>
    <col min="6919" max="6919" width="12.42578125" style="123" customWidth="1"/>
    <col min="6920" max="6920" width="13.42578125" style="123" customWidth="1"/>
    <col min="6921" max="7169" width="9.140625" style="123"/>
    <col min="7170" max="7170" width="49.140625" style="123" customWidth="1"/>
    <col min="7171" max="7171" width="20.7109375" style="123" customWidth="1"/>
    <col min="7172" max="7172" width="9.140625" style="123"/>
    <col min="7173" max="7173" width="11.85546875" style="123" customWidth="1"/>
    <col min="7174" max="7174" width="11.7109375" style="123" customWidth="1"/>
    <col min="7175" max="7175" width="12.42578125" style="123" customWidth="1"/>
    <col min="7176" max="7176" width="13.42578125" style="123" customWidth="1"/>
    <col min="7177" max="7425" width="9.140625" style="123"/>
    <col min="7426" max="7426" width="49.140625" style="123" customWidth="1"/>
    <col min="7427" max="7427" width="20.7109375" style="123" customWidth="1"/>
    <col min="7428" max="7428" width="9.140625" style="123"/>
    <col min="7429" max="7429" width="11.85546875" style="123" customWidth="1"/>
    <col min="7430" max="7430" width="11.7109375" style="123" customWidth="1"/>
    <col min="7431" max="7431" width="12.42578125" style="123" customWidth="1"/>
    <col min="7432" max="7432" width="13.42578125" style="123" customWidth="1"/>
    <col min="7433" max="7681" width="9.140625" style="123"/>
    <col min="7682" max="7682" width="49.140625" style="123" customWidth="1"/>
    <col min="7683" max="7683" width="20.7109375" style="123" customWidth="1"/>
    <col min="7684" max="7684" width="9.140625" style="123"/>
    <col min="7685" max="7685" width="11.85546875" style="123" customWidth="1"/>
    <col min="7686" max="7686" width="11.7109375" style="123" customWidth="1"/>
    <col min="7687" max="7687" width="12.42578125" style="123" customWidth="1"/>
    <col min="7688" max="7688" width="13.42578125" style="123" customWidth="1"/>
    <col min="7689" max="7937" width="9.140625" style="123"/>
    <col min="7938" max="7938" width="49.140625" style="123" customWidth="1"/>
    <col min="7939" max="7939" width="20.7109375" style="123" customWidth="1"/>
    <col min="7940" max="7940" width="9.140625" style="123"/>
    <col min="7941" max="7941" width="11.85546875" style="123" customWidth="1"/>
    <col min="7942" max="7942" width="11.7109375" style="123" customWidth="1"/>
    <col min="7943" max="7943" width="12.42578125" style="123" customWidth="1"/>
    <col min="7944" max="7944" width="13.42578125" style="123" customWidth="1"/>
    <col min="7945" max="8193" width="9.140625" style="123"/>
    <col min="8194" max="8194" width="49.140625" style="123" customWidth="1"/>
    <col min="8195" max="8195" width="20.7109375" style="123" customWidth="1"/>
    <col min="8196" max="8196" width="9.140625" style="123"/>
    <col min="8197" max="8197" width="11.85546875" style="123" customWidth="1"/>
    <col min="8198" max="8198" width="11.7109375" style="123" customWidth="1"/>
    <col min="8199" max="8199" width="12.42578125" style="123" customWidth="1"/>
    <col min="8200" max="8200" width="13.42578125" style="123" customWidth="1"/>
    <col min="8201" max="8449" width="9.140625" style="123"/>
    <col min="8450" max="8450" width="49.140625" style="123" customWidth="1"/>
    <col min="8451" max="8451" width="20.7109375" style="123" customWidth="1"/>
    <col min="8452" max="8452" width="9.140625" style="123"/>
    <col min="8453" max="8453" width="11.85546875" style="123" customWidth="1"/>
    <col min="8454" max="8454" width="11.7109375" style="123" customWidth="1"/>
    <col min="8455" max="8455" width="12.42578125" style="123" customWidth="1"/>
    <col min="8456" max="8456" width="13.42578125" style="123" customWidth="1"/>
    <col min="8457" max="8705" width="9.140625" style="123"/>
    <col min="8706" max="8706" width="49.140625" style="123" customWidth="1"/>
    <col min="8707" max="8707" width="20.7109375" style="123" customWidth="1"/>
    <col min="8708" max="8708" width="9.140625" style="123"/>
    <col min="8709" max="8709" width="11.85546875" style="123" customWidth="1"/>
    <col min="8710" max="8710" width="11.7109375" style="123" customWidth="1"/>
    <col min="8711" max="8711" width="12.42578125" style="123" customWidth="1"/>
    <col min="8712" max="8712" width="13.42578125" style="123" customWidth="1"/>
    <col min="8713" max="8961" width="9.140625" style="123"/>
    <col min="8962" max="8962" width="49.140625" style="123" customWidth="1"/>
    <col min="8963" max="8963" width="20.7109375" style="123" customWidth="1"/>
    <col min="8964" max="8964" width="9.140625" style="123"/>
    <col min="8965" max="8965" width="11.85546875" style="123" customWidth="1"/>
    <col min="8966" max="8966" width="11.7109375" style="123" customWidth="1"/>
    <col min="8967" max="8967" width="12.42578125" style="123" customWidth="1"/>
    <col min="8968" max="8968" width="13.42578125" style="123" customWidth="1"/>
    <col min="8969" max="9217" width="9.140625" style="123"/>
    <col min="9218" max="9218" width="49.140625" style="123" customWidth="1"/>
    <col min="9219" max="9219" width="20.7109375" style="123" customWidth="1"/>
    <col min="9220" max="9220" width="9.140625" style="123"/>
    <col min="9221" max="9221" width="11.85546875" style="123" customWidth="1"/>
    <col min="9222" max="9222" width="11.7109375" style="123" customWidth="1"/>
    <col min="9223" max="9223" width="12.42578125" style="123" customWidth="1"/>
    <col min="9224" max="9224" width="13.42578125" style="123" customWidth="1"/>
    <col min="9225" max="9473" width="9.140625" style="123"/>
    <col min="9474" max="9474" width="49.140625" style="123" customWidth="1"/>
    <col min="9475" max="9475" width="20.7109375" style="123" customWidth="1"/>
    <col min="9476" max="9476" width="9.140625" style="123"/>
    <col min="9477" max="9477" width="11.85546875" style="123" customWidth="1"/>
    <col min="9478" max="9478" width="11.7109375" style="123" customWidth="1"/>
    <col min="9479" max="9479" width="12.42578125" style="123" customWidth="1"/>
    <col min="9480" max="9480" width="13.42578125" style="123" customWidth="1"/>
    <col min="9481" max="9729" width="9.140625" style="123"/>
    <col min="9730" max="9730" width="49.140625" style="123" customWidth="1"/>
    <col min="9731" max="9731" width="20.7109375" style="123" customWidth="1"/>
    <col min="9732" max="9732" width="9.140625" style="123"/>
    <col min="9733" max="9733" width="11.85546875" style="123" customWidth="1"/>
    <col min="9734" max="9734" width="11.7109375" style="123" customWidth="1"/>
    <col min="9735" max="9735" width="12.42578125" style="123" customWidth="1"/>
    <col min="9736" max="9736" width="13.42578125" style="123" customWidth="1"/>
    <col min="9737" max="9985" width="9.140625" style="123"/>
    <col min="9986" max="9986" width="49.140625" style="123" customWidth="1"/>
    <col min="9987" max="9987" width="20.7109375" style="123" customWidth="1"/>
    <col min="9988" max="9988" width="9.140625" style="123"/>
    <col min="9989" max="9989" width="11.85546875" style="123" customWidth="1"/>
    <col min="9990" max="9990" width="11.7109375" style="123" customWidth="1"/>
    <col min="9991" max="9991" width="12.42578125" style="123" customWidth="1"/>
    <col min="9992" max="9992" width="13.42578125" style="123" customWidth="1"/>
    <col min="9993" max="10241" width="9.140625" style="123"/>
    <col min="10242" max="10242" width="49.140625" style="123" customWidth="1"/>
    <col min="10243" max="10243" width="20.7109375" style="123" customWidth="1"/>
    <col min="10244" max="10244" width="9.140625" style="123"/>
    <col min="10245" max="10245" width="11.85546875" style="123" customWidth="1"/>
    <col min="10246" max="10246" width="11.7109375" style="123" customWidth="1"/>
    <col min="10247" max="10247" width="12.42578125" style="123" customWidth="1"/>
    <col min="10248" max="10248" width="13.42578125" style="123" customWidth="1"/>
    <col min="10249" max="10497" width="9.140625" style="123"/>
    <col min="10498" max="10498" width="49.140625" style="123" customWidth="1"/>
    <col min="10499" max="10499" width="20.7109375" style="123" customWidth="1"/>
    <col min="10500" max="10500" width="9.140625" style="123"/>
    <col min="10501" max="10501" width="11.85546875" style="123" customWidth="1"/>
    <col min="10502" max="10502" width="11.7109375" style="123" customWidth="1"/>
    <col min="10503" max="10503" width="12.42578125" style="123" customWidth="1"/>
    <col min="10504" max="10504" width="13.42578125" style="123" customWidth="1"/>
    <col min="10505" max="10753" width="9.140625" style="123"/>
    <col min="10754" max="10754" width="49.140625" style="123" customWidth="1"/>
    <col min="10755" max="10755" width="20.7109375" style="123" customWidth="1"/>
    <col min="10756" max="10756" width="9.140625" style="123"/>
    <col min="10757" max="10757" width="11.85546875" style="123" customWidth="1"/>
    <col min="10758" max="10758" width="11.7109375" style="123" customWidth="1"/>
    <col min="10759" max="10759" width="12.42578125" style="123" customWidth="1"/>
    <col min="10760" max="10760" width="13.42578125" style="123" customWidth="1"/>
    <col min="10761" max="11009" width="9.140625" style="123"/>
    <col min="11010" max="11010" width="49.140625" style="123" customWidth="1"/>
    <col min="11011" max="11011" width="20.7109375" style="123" customWidth="1"/>
    <col min="11012" max="11012" width="9.140625" style="123"/>
    <col min="11013" max="11013" width="11.85546875" style="123" customWidth="1"/>
    <col min="11014" max="11014" width="11.7109375" style="123" customWidth="1"/>
    <col min="11015" max="11015" width="12.42578125" style="123" customWidth="1"/>
    <col min="11016" max="11016" width="13.42578125" style="123" customWidth="1"/>
    <col min="11017" max="11265" width="9.140625" style="123"/>
    <col min="11266" max="11266" width="49.140625" style="123" customWidth="1"/>
    <col min="11267" max="11267" width="20.7109375" style="123" customWidth="1"/>
    <col min="11268" max="11268" width="9.140625" style="123"/>
    <col min="11269" max="11269" width="11.85546875" style="123" customWidth="1"/>
    <col min="11270" max="11270" width="11.7109375" style="123" customWidth="1"/>
    <col min="11271" max="11271" width="12.42578125" style="123" customWidth="1"/>
    <col min="11272" max="11272" width="13.42578125" style="123" customWidth="1"/>
    <col min="11273" max="11521" width="9.140625" style="123"/>
    <col min="11522" max="11522" width="49.140625" style="123" customWidth="1"/>
    <col min="11523" max="11523" width="20.7109375" style="123" customWidth="1"/>
    <col min="11524" max="11524" width="9.140625" style="123"/>
    <col min="11525" max="11525" width="11.85546875" style="123" customWidth="1"/>
    <col min="11526" max="11526" width="11.7109375" style="123" customWidth="1"/>
    <col min="11527" max="11527" width="12.42578125" style="123" customWidth="1"/>
    <col min="11528" max="11528" width="13.42578125" style="123" customWidth="1"/>
    <col min="11529" max="11777" width="9.140625" style="123"/>
    <col min="11778" max="11778" width="49.140625" style="123" customWidth="1"/>
    <col min="11779" max="11779" width="20.7109375" style="123" customWidth="1"/>
    <col min="11780" max="11780" width="9.140625" style="123"/>
    <col min="11781" max="11781" width="11.85546875" style="123" customWidth="1"/>
    <col min="11782" max="11782" width="11.7109375" style="123" customWidth="1"/>
    <col min="11783" max="11783" width="12.42578125" style="123" customWidth="1"/>
    <col min="11784" max="11784" width="13.42578125" style="123" customWidth="1"/>
    <col min="11785" max="12033" width="9.140625" style="123"/>
    <col min="12034" max="12034" width="49.140625" style="123" customWidth="1"/>
    <col min="12035" max="12035" width="20.7109375" style="123" customWidth="1"/>
    <col min="12036" max="12036" width="9.140625" style="123"/>
    <col min="12037" max="12037" width="11.85546875" style="123" customWidth="1"/>
    <col min="12038" max="12038" width="11.7109375" style="123" customWidth="1"/>
    <col min="12039" max="12039" width="12.42578125" style="123" customWidth="1"/>
    <col min="12040" max="12040" width="13.42578125" style="123" customWidth="1"/>
    <col min="12041" max="12289" width="9.140625" style="123"/>
    <col min="12290" max="12290" width="49.140625" style="123" customWidth="1"/>
    <col min="12291" max="12291" width="20.7109375" style="123" customWidth="1"/>
    <col min="12292" max="12292" width="9.140625" style="123"/>
    <col min="12293" max="12293" width="11.85546875" style="123" customWidth="1"/>
    <col min="12294" max="12294" width="11.7109375" style="123" customWidth="1"/>
    <col min="12295" max="12295" width="12.42578125" style="123" customWidth="1"/>
    <col min="12296" max="12296" width="13.42578125" style="123" customWidth="1"/>
    <col min="12297" max="12545" width="9.140625" style="123"/>
    <col min="12546" max="12546" width="49.140625" style="123" customWidth="1"/>
    <col min="12547" max="12547" width="20.7109375" style="123" customWidth="1"/>
    <col min="12548" max="12548" width="9.140625" style="123"/>
    <col min="12549" max="12549" width="11.85546875" style="123" customWidth="1"/>
    <col min="12550" max="12550" width="11.7109375" style="123" customWidth="1"/>
    <col min="12551" max="12551" width="12.42578125" style="123" customWidth="1"/>
    <col min="12552" max="12552" width="13.42578125" style="123" customWidth="1"/>
    <col min="12553" max="12801" width="9.140625" style="123"/>
    <col min="12802" max="12802" width="49.140625" style="123" customWidth="1"/>
    <col min="12803" max="12803" width="20.7109375" style="123" customWidth="1"/>
    <col min="12804" max="12804" width="9.140625" style="123"/>
    <col min="12805" max="12805" width="11.85546875" style="123" customWidth="1"/>
    <col min="12806" max="12806" width="11.7109375" style="123" customWidth="1"/>
    <col min="12807" max="12807" width="12.42578125" style="123" customWidth="1"/>
    <col min="12808" max="12808" width="13.42578125" style="123" customWidth="1"/>
    <col min="12809" max="13057" width="9.140625" style="123"/>
    <col min="13058" max="13058" width="49.140625" style="123" customWidth="1"/>
    <col min="13059" max="13059" width="20.7109375" style="123" customWidth="1"/>
    <col min="13060" max="13060" width="9.140625" style="123"/>
    <col min="13061" max="13061" width="11.85546875" style="123" customWidth="1"/>
    <col min="13062" max="13062" width="11.7109375" style="123" customWidth="1"/>
    <col min="13063" max="13063" width="12.42578125" style="123" customWidth="1"/>
    <col min="13064" max="13064" width="13.42578125" style="123" customWidth="1"/>
    <col min="13065" max="13313" width="9.140625" style="123"/>
    <col min="13314" max="13314" width="49.140625" style="123" customWidth="1"/>
    <col min="13315" max="13315" width="20.7109375" style="123" customWidth="1"/>
    <col min="13316" max="13316" width="9.140625" style="123"/>
    <col min="13317" max="13317" width="11.85546875" style="123" customWidth="1"/>
    <col min="13318" max="13318" width="11.7109375" style="123" customWidth="1"/>
    <col min="13319" max="13319" width="12.42578125" style="123" customWidth="1"/>
    <col min="13320" max="13320" width="13.42578125" style="123" customWidth="1"/>
    <col min="13321" max="13569" width="9.140625" style="123"/>
    <col min="13570" max="13570" width="49.140625" style="123" customWidth="1"/>
    <col min="13571" max="13571" width="20.7109375" style="123" customWidth="1"/>
    <col min="13572" max="13572" width="9.140625" style="123"/>
    <col min="13573" max="13573" width="11.85546875" style="123" customWidth="1"/>
    <col min="13574" max="13574" width="11.7109375" style="123" customWidth="1"/>
    <col min="13575" max="13575" width="12.42578125" style="123" customWidth="1"/>
    <col min="13576" max="13576" width="13.42578125" style="123" customWidth="1"/>
    <col min="13577" max="13825" width="9.140625" style="123"/>
    <col min="13826" max="13826" width="49.140625" style="123" customWidth="1"/>
    <col min="13827" max="13827" width="20.7109375" style="123" customWidth="1"/>
    <col min="13828" max="13828" width="9.140625" style="123"/>
    <col min="13829" max="13829" width="11.85546875" style="123" customWidth="1"/>
    <col min="13830" max="13830" width="11.7109375" style="123" customWidth="1"/>
    <col min="13831" max="13831" width="12.42578125" style="123" customWidth="1"/>
    <col min="13832" max="13832" width="13.42578125" style="123" customWidth="1"/>
    <col min="13833" max="14081" width="9.140625" style="123"/>
    <col min="14082" max="14082" width="49.140625" style="123" customWidth="1"/>
    <col min="14083" max="14083" width="20.7109375" style="123" customWidth="1"/>
    <col min="14084" max="14084" width="9.140625" style="123"/>
    <col min="14085" max="14085" width="11.85546875" style="123" customWidth="1"/>
    <col min="14086" max="14086" width="11.7109375" style="123" customWidth="1"/>
    <col min="14087" max="14087" width="12.42578125" style="123" customWidth="1"/>
    <col min="14088" max="14088" width="13.42578125" style="123" customWidth="1"/>
    <col min="14089" max="14337" width="9.140625" style="123"/>
    <col min="14338" max="14338" width="49.140625" style="123" customWidth="1"/>
    <col min="14339" max="14339" width="20.7109375" style="123" customWidth="1"/>
    <col min="14340" max="14340" width="9.140625" style="123"/>
    <col min="14341" max="14341" width="11.85546875" style="123" customWidth="1"/>
    <col min="14342" max="14342" width="11.7109375" style="123" customWidth="1"/>
    <col min="14343" max="14343" width="12.42578125" style="123" customWidth="1"/>
    <col min="14344" max="14344" width="13.42578125" style="123" customWidth="1"/>
    <col min="14345" max="14593" width="9.140625" style="123"/>
    <col min="14594" max="14594" width="49.140625" style="123" customWidth="1"/>
    <col min="14595" max="14595" width="20.7109375" style="123" customWidth="1"/>
    <col min="14596" max="14596" width="9.140625" style="123"/>
    <col min="14597" max="14597" width="11.85546875" style="123" customWidth="1"/>
    <col min="14598" max="14598" width="11.7109375" style="123" customWidth="1"/>
    <col min="14599" max="14599" width="12.42578125" style="123" customWidth="1"/>
    <col min="14600" max="14600" width="13.42578125" style="123" customWidth="1"/>
    <col min="14601" max="14849" width="9.140625" style="123"/>
    <col min="14850" max="14850" width="49.140625" style="123" customWidth="1"/>
    <col min="14851" max="14851" width="20.7109375" style="123" customWidth="1"/>
    <col min="14852" max="14852" width="9.140625" style="123"/>
    <col min="14853" max="14853" width="11.85546875" style="123" customWidth="1"/>
    <col min="14854" max="14854" width="11.7109375" style="123" customWidth="1"/>
    <col min="14855" max="14855" width="12.42578125" style="123" customWidth="1"/>
    <col min="14856" max="14856" width="13.42578125" style="123" customWidth="1"/>
    <col min="14857" max="15105" width="9.140625" style="123"/>
    <col min="15106" max="15106" width="49.140625" style="123" customWidth="1"/>
    <col min="15107" max="15107" width="20.7109375" style="123" customWidth="1"/>
    <col min="15108" max="15108" width="9.140625" style="123"/>
    <col min="15109" max="15109" width="11.85546875" style="123" customWidth="1"/>
    <col min="15110" max="15110" width="11.7109375" style="123" customWidth="1"/>
    <col min="15111" max="15111" width="12.42578125" style="123" customWidth="1"/>
    <col min="15112" max="15112" width="13.42578125" style="123" customWidth="1"/>
    <col min="15113" max="15361" width="9.140625" style="123"/>
    <col min="15362" max="15362" width="49.140625" style="123" customWidth="1"/>
    <col min="15363" max="15363" width="20.7109375" style="123" customWidth="1"/>
    <col min="15364" max="15364" width="9.140625" style="123"/>
    <col min="15365" max="15365" width="11.85546875" style="123" customWidth="1"/>
    <col min="15366" max="15366" width="11.7109375" style="123" customWidth="1"/>
    <col min="15367" max="15367" width="12.42578125" style="123" customWidth="1"/>
    <col min="15368" max="15368" width="13.42578125" style="123" customWidth="1"/>
    <col min="15369" max="15617" width="9.140625" style="123"/>
    <col min="15618" max="15618" width="49.140625" style="123" customWidth="1"/>
    <col min="15619" max="15619" width="20.7109375" style="123" customWidth="1"/>
    <col min="15620" max="15620" width="9.140625" style="123"/>
    <col min="15621" max="15621" width="11.85546875" style="123" customWidth="1"/>
    <col min="15622" max="15622" width="11.7109375" style="123" customWidth="1"/>
    <col min="15623" max="15623" width="12.42578125" style="123" customWidth="1"/>
    <col min="15624" max="15624" width="13.42578125" style="123" customWidth="1"/>
    <col min="15625" max="15873" width="9.140625" style="123"/>
    <col min="15874" max="15874" width="49.140625" style="123" customWidth="1"/>
    <col min="15875" max="15875" width="20.7109375" style="123" customWidth="1"/>
    <col min="15876" max="15876" width="9.140625" style="123"/>
    <col min="15877" max="15877" width="11.85546875" style="123" customWidth="1"/>
    <col min="15878" max="15878" width="11.7109375" style="123" customWidth="1"/>
    <col min="15879" max="15879" width="12.42578125" style="123" customWidth="1"/>
    <col min="15880" max="15880" width="13.42578125" style="123" customWidth="1"/>
    <col min="15881" max="16129" width="9.140625" style="123"/>
    <col min="16130" max="16130" width="49.140625" style="123" customWidth="1"/>
    <col min="16131" max="16131" width="20.7109375" style="123" customWidth="1"/>
    <col min="16132" max="16132" width="9.140625" style="123"/>
    <col min="16133" max="16133" width="11.85546875" style="123" customWidth="1"/>
    <col min="16134" max="16134" width="11.7109375" style="123" customWidth="1"/>
    <col min="16135" max="16135" width="12.42578125" style="123" customWidth="1"/>
    <col min="16136" max="16136" width="13.42578125" style="123" customWidth="1"/>
    <col min="16137" max="16384" width="9.140625" style="123"/>
  </cols>
  <sheetData>
    <row r="1" spans="2:13" ht="20.100000000000001" customHeight="1">
      <c r="B1" s="1119" t="s">
        <v>494</v>
      </c>
      <c r="C1" s="1126"/>
      <c r="D1" s="1126"/>
      <c r="E1" s="1126"/>
      <c r="F1" s="1126"/>
      <c r="G1" s="1126"/>
      <c r="H1" s="1120"/>
      <c r="I1" s="124"/>
      <c r="J1" s="124"/>
      <c r="K1" s="124"/>
      <c r="L1" s="124"/>
      <c r="M1" s="124"/>
    </row>
    <row r="2" spans="2:13" ht="20.100000000000001" customHeight="1">
      <c r="B2" s="1121" t="s">
        <v>272</v>
      </c>
      <c r="C2" s="1123"/>
      <c r="E2" s="521">
        <v>1</v>
      </c>
      <c r="F2" s="521">
        <v>2</v>
      </c>
      <c r="G2" s="521">
        <v>3</v>
      </c>
      <c r="H2" s="522">
        <v>4</v>
      </c>
    </row>
    <row r="3" spans="2:13" ht="20.100000000000001" customHeight="1">
      <c r="B3" s="510" t="s">
        <v>273</v>
      </c>
      <c r="C3" s="152">
        <f>' Break EvenPoint'!B3</f>
        <v>3094.3312153271104</v>
      </c>
      <c r="E3" s="152">
        <f>C3-C3*0.11</f>
        <v>2753.9547816411282</v>
      </c>
      <c r="F3" s="152">
        <f>C3</f>
        <v>3094.3312153271104</v>
      </c>
      <c r="G3" s="152">
        <f>C3-C3*0.05</f>
        <v>2939.6146545607548</v>
      </c>
      <c r="H3" s="511">
        <f>C3</f>
        <v>3094.3312153271104</v>
      </c>
    </row>
    <row r="4" spans="2:13" ht="20.100000000000001" customHeight="1">
      <c r="B4" s="510" t="s">
        <v>274</v>
      </c>
      <c r="C4" s="153"/>
      <c r="E4" s="154"/>
      <c r="F4" s="154"/>
      <c r="G4" s="154"/>
      <c r="H4" s="514"/>
    </row>
    <row r="5" spans="2:13" ht="20.100000000000001" customHeight="1">
      <c r="B5" s="513" t="s">
        <v>447</v>
      </c>
      <c r="C5" s="154">
        <f>' Break EvenPoint'!B5</f>
        <v>1040.0541977649902</v>
      </c>
      <c r="E5" s="154">
        <f>C5</f>
        <v>1040.0541977649902</v>
      </c>
      <c r="F5" s="154">
        <f>E5+E5*16.5%</f>
        <v>1211.6631403962137</v>
      </c>
      <c r="G5" s="154">
        <f>C5+C5*0.09</f>
        <v>1133.6590755638395</v>
      </c>
      <c r="H5" s="514">
        <f>C5</f>
        <v>1040.0541977649902</v>
      </c>
    </row>
    <row r="6" spans="2:13" ht="20.100000000000001" customHeight="1">
      <c r="B6" s="513" t="s">
        <v>17</v>
      </c>
      <c r="C6" s="154">
        <f>' Break EvenPoint'!B6</f>
        <v>179.39131484999996</v>
      </c>
      <c r="E6" s="154">
        <f>C6</f>
        <v>179.39131484999996</v>
      </c>
      <c r="F6" s="154">
        <f t="shared" ref="F6:H8" si="0">E6</f>
        <v>179.39131484999996</v>
      </c>
      <c r="G6" s="154">
        <f t="shared" si="0"/>
        <v>179.39131484999996</v>
      </c>
      <c r="H6" s="514">
        <f t="shared" si="0"/>
        <v>179.39131484999996</v>
      </c>
    </row>
    <row r="7" spans="2:13" ht="20.100000000000001" customHeight="1">
      <c r="B7" s="513" t="s">
        <v>15</v>
      </c>
      <c r="C7" s="154">
        <f>' Break EvenPoint'!B7</f>
        <v>30.708780423749996</v>
      </c>
      <c r="E7" s="154">
        <f>C7</f>
        <v>30.708780423749996</v>
      </c>
      <c r="F7" s="154">
        <f t="shared" si="0"/>
        <v>30.708780423749996</v>
      </c>
      <c r="G7" s="154">
        <f t="shared" si="0"/>
        <v>30.708780423749996</v>
      </c>
      <c r="H7" s="514">
        <f t="shared" si="0"/>
        <v>30.708780423749996</v>
      </c>
    </row>
    <row r="8" spans="2:13" ht="20.100000000000001" customHeight="1">
      <c r="B8" s="513" t="s">
        <v>21</v>
      </c>
      <c r="C8" s="154">
        <f>' Break EvenPoint'!B8</f>
        <v>88.771189675495322</v>
      </c>
      <c r="E8" s="154">
        <f>C8</f>
        <v>88.771189675495322</v>
      </c>
      <c r="F8" s="154">
        <f t="shared" si="0"/>
        <v>88.771189675495322</v>
      </c>
      <c r="G8" s="154">
        <f t="shared" si="0"/>
        <v>88.771189675495322</v>
      </c>
      <c r="H8" s="514">
        <f t="shared" si="0"/>
        <v>88.771189675495322</v>
      </c>
    </row>
    <row r="9" spans="2:13" ht="20.100000000000001" customHeight="1">
      <c r="B9" s="515" t="s">
        <v>275</v>
      </c>
      <c r="C9" s="152">
        <f>SUM(C5:C8)</f>
        <v>1338.9254827142354</v>
      </c>
      <c r="D9" s="130"/>
      <c r="E9" s="152">
        <f>SUM(E5:E8)</f>
        <v>1338.9254827142354</v>
      </c>
      <c r="F9" s="152">
        <f>SUM(F5:F8)</f>
        <v>1510.5344253454591</v>
      </c>
      <c r="G9" s="152">
        <f>SUM(G5:G8)</f>
        <v>1432.5303605130848</v>
      </c>
      <c r="H9" s="511">
        <f>SUM(H5:H8)+SUM(H5:H8)*14.5%</f>
        <v>1533.0696777077994</v>
      </c>
    </row>
    <row r="10" spans="2:13" ht="20.100000000000001" customHeight="1">
      <c r="B10" s="510" t="s">
        <v>276</v>
      </c>
      <c r="C10" s="152">
        <f>+C3-C9</f>
        <v>1755.405732612875</v>
      </c>
      <c r="E10" s="152">
        <f>+E3-E9</f>
        <v>1415.0292989268928</v>
      </c>
      <c r="F10" s="152">
        <f>+F3-F9</f>
        <v>1583.7967899816513</v>
      </c>
      <c r="G10" s="152">
        <f>+G3-G9</f>
        <v>1507.08429404767</v>
      </c>
      <c r="H10" s="511">
        <f>+H3-H9</f>
        <v>1561.261537619311</v>
      </c>
      <c r="I10" s="125"/>
    </row>
    <row r="11" spans="2:13" ht="20.100000000000001" customHeight="1">
      <c r="B11" s="510" t="s">
        <v>277</v>
      </c>
      <c r="C11" s="153"/>
      <c r="E11" s="125"/>
      <c r="F11" s="125"/>
      <c r="G11" s="127"/>
      <c r="H11" s="518"/>
      <c r="I11" s="125"/>
    </row>
    <row r="12" spans="2:13" ht="20.100000000000001" customHeight="1">
      <c r="B12" s="513" t="s">
        <v>20</v>
      </c>
      <c r="C12" s="154">
        <f>' Break EvenPoint'!B12</f>
        <v>78.842457207074617</v>
      </c>
      <c r="E12" s="154">
        <f>C12</f>
        <v>78.842457207074617</v>
      </c>
      <c r="F12" s="154">
        <f t="shared" ref="F12:H13" si="1">E12</f>
        <v>78.842457207074617</v>
      </c>
      <c r="G12" s="154">
        <f t="shared" si="1"/>
        <v>78.842457207074617</v>
      </c>
      <c r="H12" s="514">
        <f t="shared" si="1"/>
        <v>78.842457207074617</v>
      </c>
      <c r="I12" s="125"/>
    </row>
    <row r="13" spans="2:13" ht="20.100000000000001" customHeight="1">
      <c r="B13" s="513" t="s">
        <v>31</v>
      </c>
      <c r="C13" s="154">
        <f>' Break EvenPoint'!B14</f>
        <v>415.94497678079995</v>
      </c>
      <c r="E13" s="154">
        <f>C13</f>
        <v>415.94497678079995</v>
      </c>
      <c r="F13" s="154">
        <f t="shared" si="1"/>
        <v>415.94497678079995</v>
      </c>
      <c r="G13" s="154">
        <f t="shared" si="1"/>
        <v>415.94497678079995</v>
      </c>
      <c r="H13" s="514">
        <f t="shared" si="1"/>
        <v>415.94497678079995</v>
      </c>
      <c r="I13" s="132"/>
    </row>
    <row r="14" spans="2:13" ht="20.100000000000001" customHeight="1">
      <c r="B14" s="513" t="s">
        <v>471</v>
      </c>
      <c r="C14" s="154">
        <f>' Break EvenPoint'!B13</f>
        <v>311.95873258559999</v>
      </c>
      <c r="E14" s="154">
        <f>C14</f>
        <v>311.95873258559999</v>
      </c>
      <c r="F14" s="154">
        <f>E14</f>
        <v>311.95873258559999</v>
      </c>
      <c r="G14" s="154">
        <f t="shared" ref="G14:H14" si="2">E14</f>
        <v>311.95873258559999</v>
      </c>
      <c r="H14" s="514">
        <f t="shared" si="2"/>
        <v>311.95873258559999</v>
      </c>
      <c r="I14" s="132"/>
    </row>
    <row r="15" spans="2:13" ht="20.100000000000001" customHeight="1">
      <c r="B15" s="513" t="s">
        <v>144</v>
      </c>
      <c r="C15" s="152">
        <f>SUM(C12:C14)</f>
        <v>806.74616657347451</v>
      </c>
      <c r="E15" s="152">
        <f>SUM(E12:E14)</f>
        <v>806.74616657347451</v>
      </c>
      <c r="F15" s="152">
        <f t="shared" ref="F15:H15" si="3">SUM(F12:F14)</f>
        <v>806.74616657347451</v>
      </c>
      <c r="G15" s="152">
        <f t="shared" si="3"/>
        <v>806.74616657347451</v>
      </c>
      <c r="H15" s="511">
        <f t="shared" si="3"/>
        <v>806.74616657347451</v>
      </c>
      <c r="I15" s="132"/>
    </row>
    <row r="16" spans="2:13" ht="20.100000000000001" customHeight="1">
      <c r="B16" s="516" t="s">
        <v>278</v>
      </c>
      <c r="C16" s="519">
        <f>C15/C10</f>
        <v>0.45957817704779519</v>
      </c>
      <c r="D16" s="520"/>
      <c r="E16" s="519">
        <f>E15/E10</f>
        <v>0.57012682860014396</v>
      </c>
      <c r="F16" s="519">
        <f>F15/F10</f>
        <v>0.50937479585548406</v>
      </c>
      <c r="G16" s="519">
        <f>G15/G10</f>
        <v>0.53530261695365833</v>
      </c>
      <c r="H16" s="517">
        <f>H15/H10</f>
        <v>0.51672711274476224</v>
      </c>
      <c r="I16" s="132"/>
      <c r="J16" s="124"/>
    </row>
    <row r="17" spans="1:9" ht="20.100000000000001" customHeight="1">
      <c r="B17" s="127"/>
      <c r="C17" s="127"/>
      <c r="H17" s="132"/>
      <c r="I17" s="132"/>
    </row>
    <row r="18" spans="1:9" ht="20.100000000000001" customHeight="1">
      <c r="A18" s="526" t="s">
        <v>117</v>
      </c>
      <c r="B18" s="1124" t="s">
        <v>364</v>
      </c>
      <c r="C18" s="1124"/>
    </row>
    <row r="19" spans="1:9">
      <c r="A19" s="523"/>
      <c r="B19" s="343" t="s">
        <v>358</v>
      </c>
      <c r="C19" s="344" t="s">
        <v>359</v>
      </c>
    </row>
    <row r="20" spans="1:9">
      <c r="A20" s="524"/>
      <c r="B20" s="345" t="s">
        <v>439</v>
      </c>
      <c r="C20" s="346">
        <f>C16</f>
        <v>0.45957817704779519</v>
      </c>
    </row>
    <row r="21" spans="1:9">
      <c r="A21" s="524"/>
      <c r="B21" s="345"/>
      <c r="C21" s="347"/>
    </row>
    <row r="22" spans="1:9">
      <c r="A22" s="524">
        <v>1</v>
      </c>
      <c r="B22" s="345" t="s">
        <v>360</v>
      </c>
      <c r="C22" s="348">
        <f>E16</f>
        <v>0.57012682860014396</v>
      </c>
    </row>
    <row r="23" spans="1:9">
      <c r="A23" s="524">
        <v>2</v>
      </c>
      <c r="B23" s="345" t="s">
        <v>361</v>
      </c>
      <c r="C23" s="348">
        <f>F16</f>
        <v>0.50937479585548406</v>
      </c>
    </row>
    <row r="24" spans="1:9">
      <c r="A24" s="524">
        <v>3</v>
      </c>
      <c r="B24" s="345" t="s">
        <v>362</v>
      </c>
      <c r="C24" s="348">
        <f>G16</f>
        <v>0.53530261695365833</v>
      </c>
    </row>
    <row r="25" spans="1:9">
      <c r="A25" s="525">
        <v>4</v>
      </c>
      <c r="B25" s="349" t="s">
        <v>363</v>
      </c>
      <c r="C25" s="350">
        <f>H16</f>
        <v>0.51672711274476224</v>
      </c>
    </row>
    <row r="27" spans="1:9" ht="40.5" customHeight="1">
      <c r="B27" s="1125" t="s">
        <v>415</v>
      </c>
      <c r="C27" s="1125"/>
    </row>
  </sheetData>
  <mergeCells count="4">
    <mergeCell ref="B2:C2"/>
    <mergeCell ref="B18:C18"/>
    <mergeCell ref="B27:C27"/>
    <mergeCell ref="B1:H1"/>
  </mergeCells>
  <printOptions horizontalCentered="1" gridLines="1"/>
  <pageMargins left="1"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A046-4BE7-404A-98E4-BC766D1E24FF}">
  <sheetPr codeName="Sheet19"/>
  <dimension ref="A1:M27"/>
  <sheetViews>
    <sheetView showGridLines="0" zoomScaleNormal="100" zoomScaleSheetLayoutView="98" workbookViewId="0">
      <selection activeCell="C20" sqref="C20"/>
    </sheetView>
  </sheetViews>
  <sheetFormatPr defaultRowHeight="12.75"/>
  <cols>
    <col min="1" max="1" width="4.85546875" style="123" customWidth="1"/>
    <col min="2" max="2" width="63.7109375" style="123" bestFit="1" customWidth="1"/>
    <col min="3" max="3" width="20.7109375" style="123" customWidth="1"/>
    <col min="4" max="4" width="9.140625" style="123"/>
    <col min="5" max="5" width="11.85546875" style="123" customWidth="1"/>
    <col min="6" max="6" width="11.7109375" style="123" customWidth="1"/>
    <col min="7" max="7" width="12.42578125" style="123" customWidth="1"/>
    <col min="8" max="8" width="13.42578125" style="123" customWidth="1"/>
    <col min="9" max="257" width="9.140625" style="123"/>
    <col min="258" max="258" width="49.140625" style="123" customWidth="1"/>
    <col min="259" max="259" width="20.7109375" style="123" customWidth="1"/>
    <col min="260" max="260" width="9.140625" style="123"/>
    <col min="261" max="261" width="11.85546875" style="123" customWidth="1"/>
    <col min="262" max="262" width="11.7109375" style="123" customWidth="1"/>
    <col min="263" max="263" width="12.42578125" style="123" customWidth="1"/>
    <col min="264" max="264" width="13.42578125" style="123" customWidth="1"/>
    <col min="265" max="513" width="9.140625" style="123"/>
    <col min="514" max="514" width="49.140625" style="123" customWidth="1"/>
    <col min="515" max="515" width="20.7109375" style="123" customWidth="1"/>
    <col min="516" max="516" width="9.140625" style="123"/>
    <col min="517" max="517" width="11.85546875" style="123" customWidth="1"/>
    <col min="518" max="518" width="11.7109375" style="123" customWidth="1"/>
    <col min="519" max="519" width="12.42578125" style="123" customWidth="1"/>
    <col min="520" max="520" width="13.42578125" style="123" customWidth="1"/>
    <col min="521" max="769" width="9.140625" style="123"/>
    <col min="770" max="770" width="49.140625" style="123" customWidth="1"/>
    <col min="771" max="771" width="20.7109375" style="123" customWidth="1"/>
    <col min="772" max="772" width="9.140625" style="123"/>
    <col min="773" max="773" width="11.85546875" style="123" customWidth="1"/>
    <col min="774" max="774" width="11.7109375" style="123" customWidth="1"/>
    <col min="775" max="775" width="12.42578125" style="123" customWidth="1"/>
    <col min="776" max="776" width="13.42578125" style="123" customWidth="1"/>
    <col min="777" max="1025" width="9.140625" style="123"/>
    <col min="1026" max="1026" width="49.140625" style="123" customWidth="1"/>
    <col min="1027" max="1027" width="20.7109375" style="123" customWidth="1"/>
    <col min="1028" max="1028" width="9.140625" style="123"/>
    <col min="1029" max="1029" width="11.85546875" style="123" customWidth="1"/>
    <col min="1030" max="1030" width="11.7109375" style="123" customWidth="1"/>
    <col min="1031" max="1031" width="12.42578125" style="123" customWidth="1"/>
    <col min="1032" max="1032" width="13.42578125" style="123" customWidth="1"/>
    <col min="1033" max="1281" width="9.140625" style="123"/>
    <col min="1282" max="1282" width="49.140625" style="123" customWidth="1"/>
    <col min="1283" max="1283" width="20.7109375" style="123" customWidth="1"/>
    <col min="1284" max="1284" width="9.140625" style="123"/>
    <col min="1285" max="1285" width="11.85546875" style="123" customWidth="1"/>
    <col min="1286" max="1286" width="11.7109375" style="123" customWidth="1"/>
    <col min="1287" max="1287" width="12.42578125" style="123" customWidth="1"/>
    <col min="1288" max="1288" width="13.42578125" style="123" customWidth="1"/>
    <col min="1289" max="1537" width="9.140625" style="123"/>
    <col min="1538" max="1538" width="49.140625" style="123" customWidth="1"/>
    <col min="1539" max="1539" width="20.7109375" style="123" customWidth="1"/>
    <col min="1540" max="1540" width="9.140625" style="123"/>
    <col min="1541" max="1541" width="11.85546875" style="123" customWidth="1"/>
    <col min="1542" max="1542" width="11.7109375" style="123" customWidth="1"/>
    <col min="1543" max="1543" width="12.42578125" style="123" customWidth="1"/>
    <col min="1544" max="1544" width="13.42578125" style="123" customWidth="1"/>
    <col min="1545" max="1793" width="9.140625" style="123"/>
    <col min="1794" max="1794" width="49.140625" style="123" customWidth="1"/>
    <col min="1795" max="1795" width="20.7109375" style="123" customWidth="1"/>
    <col min="1796" max="1796" width="9.140625" style="123"/>
    <col min="1797" max="1797" width="11.85546875" style="123" customWidth="1"/>
    <col min="1798" max="1798" width="11.7109375" style="123" customWidth="1"/>
    <col min="1799" max="1799" width="12.42578125" style="123" customWidth="1"/>
    <col min="1800" max="1800" width="13.42578125" style="123" customWidth="1"/>
    <col min="1801" max="2049" width="9.140625" style="123"/>
    <col min="2050" max="2050" width="49.140625" style="123" customWidth="1"/>
    <col min="2051" max="2051" width="20.7109375" style="123" customWidth="1"/>
    <col min="2052" max="2052" width="9.140625" style="123"/>
    <col min="2053" max="2053" width="11.85546875" style="123" customWidth="1"/>
    <col min="2054" max="2054" width="11.7109375" style="123" customWidth="1"/>
    <col min="2055" max="2055" width="12.42578125" style="123" customWidth="1"/>
    <col min="2056" max="2056" width="13.42578125" style="123" customWidth="1"/>
    <col min="2057" max="2305" width="9.140625" style="123"/>
    <col min="2306" max="2306" width="49.140625" style="123" customWidth="1"/>
    <col min="2307" max="2307" width="20.7109375" style="123" customWidth="1"/>
    <col min="2308" max="2308" width="9.140625" style="123"/>
    <col min="2309" max="2309" width="11.85546875" style="123" customWidth="1"/>
    <col min="2310" max="2310" width="11.7109375" style="123" customWidth="1"/>
    <col min="2311" max="2311" width="12.42578125" style="123" customWidth="1"/>
    <col min="2312" max="2312" width="13.42578125" style="123" customWidth="1"/>
    <col min="2313" max="2561" width="9.140625" style="123"/>
    <col min="2562" max="2562" width="49.140625" style="123" customWidth="1"/>
    <col min="2563" max="2563" width="20.7109375" style="123" customWidth="1"/>
    <col min="2564" max="2564" width="9.140625" style="123"/>
    <col min="2565" max="2565" width="11.85546875" style="123" customWidth="1"/>
    <col min="2566" max="2566" width="11.7109375" style="123" customWidth="1"/>
    <col min="2567" max="2567" width="12.42578125" style="123" customWidth="1"/>
    <col min="2568" max="2568" width="13.42578125" style="123" customWidth="1"/>
    <col min="2569" max="2817" width="9.140625" style="123"/>
    <col min="2818" max="2818" width="49.140625" style="123" customWidth="1"/>
    <col min="2819" max="2819" width="20.7109375" style="123" customWidth="1"/>
    <col min="2820" max="2820" width="9.140625" style="123"/>
    <col min="2821" max="2821" width="11.85546875" style="123" customWidth="1"/>
    <col min="2822" max="2822" width="11.7109375" style="123" customWidth="1"/>
    <col min="2823" max="2823" width="12.42578125" style="123" customWidth="1"/>
    <col min="2824" max="2824" width="13.42578125" style="123" customWidth="1"/>
    <col min="2825" max="3073" width="9.140625" style="123"/>
    <col min="3074" max="3074" width="49.140625" style="123" customWidth="1"/>
    <col min="3075" max="3075" width="20.7109375" style="123" customWidth="1"/>
    <col min="3076" max="3076" width="9.140625" style="123"/>
    <col min="3077" max="3077" width="11.85546875" style="123" customWidth="1"/>
    <col min="3078" max="3078" width="11.7109375" style="123" customWidth="1"/>
    <col min="3079" max="3079" width="12.42578125" style="123" customWidth="1"/>
    <col min="3080" max="3080" width="13.42578125" style="123" customWidth="1"/>
    <col min="3081" max="3329" width="9.140625" style="123"/>
    <col min="3330" max="3330" width="49.140625" style="123" customWidth="1"/>
    <col min="3331" max="3331" width="20.7109375" style="123" customWidth="1"/>
    <col min="3332" max="3332" width="9.140625" style="123"/>
    <col min="3333" max="3333" width="11.85546875" style="123" customWidth="1"/>
    <col min="3334" max="3334" width="11.7109375" style="123" customWidth="1"/>
    <col min="3335" max="3335" width="12.42578125" style="123" customWidth="1"/>
    <col min="3336" max="3336" width="13.42578125" style="123" customWidth="1"/>
    <col min="3337" max="3585" width="9.140625" style="123"/>
    <col min="3586" max="3586" width="49.140625" style="123" customWidth="1"/>
    <col min="3587" max="3587" width="20.7109375" style="123" customWidth="1"/>
    <col min="3588" max="3588" width="9.140625" style="123"/>
    <col min="3589" max="3589" width="11.85546875" style="123" customWidth="1"/>
    <col min="3590" max="3590" width="11.7109375" style="123" customWidth="1"/>
    <col min="3591" max="3591" width="12.42578125" style="123" customWidth="1"/>
    <col min="3592" max="3592" width="13.42578125" style="123" customWidth="1"/>
    <col min="3593" max="3841" width="9.140625" style="123"/>
    <col min="3842" max="3842" width="49.140625" style="123" customWidth="1"/>
    <col min="3843" max="3843" width="20.7109375" style="123" customWidth="1"/>
    <col min="3844" max="3844" width="9.140625" style="123"/>
    <col min="3845" max="3845" width="11.85546875" style="123" customWidth="1"/>
    <col min="3846" max="3846" width="11.7109375" style="123" customWidth="1"/>
    <col min="3847" max="3847" width="12.42578125" style="123" customWidth="1"/>
    <col min="3848" max="3848" width="13.42578125" style="123" customWidth="1"/>
    <col min="3849" max="4097" width="9.140625" style="123"/>
    <col min="4098" max="4098" width="49.140625" style="123" customWidth="1"/>
    <col min="4099" max="4099" width="20.7109375" style="123" customWidth="1"/>
    <col min="4100" max="4100" width="9.140625" style="123"/>
    <col min="4101" max="4101" width="11.85546875" style="123" customWidth="1"/>
    <col min="4102" max="4102" width="11.7109375" style="123" customWidth="1"/>
    <col min="4103" max="4103" width="12.42578125" style="123" customWidth="1"/>
    <col min="4104" max="4104" width="13.42578125" style="123" customWidth="1"/>
    <col min="4105" max="4353" width="9.140625" style="123"/>
    <col min="4354" max="4354" width="49.140625" style="123" customWidth="1"/>
    <col min="4355" max="4355" width="20.7109375" style="123" customWidth="1"/>
    <col min="4356" max="4356" width="9.140625" style="123"/>
    <col min="4357" max="4357" width="11.85546875" style="123" customWidth="1"/>
    <col min="4358" max="4358" width="11.7109375" style="123" customWidth="1"/>
    <col min="4359" max="4359" width="12.42578125" style="123" customWidth="1"/>
    <col min="4360" max="4360" width="13.42578125" style="123" customWidth="1"/>
    <col min="4361" max="4609" width="9.140625" style="123"/>
    <col min="4610" max="4610" width="49.140625" style="123" customWidth="1"/>
    <col min="4611" max="4611" width="20.7109375" style="123" customWidth="1"/>
    <col min="4612" max="4612" width="9.140625" style="123"/>
    <col min="4613" max="4613" width="11.85546875" style="123" customWidth="1"/>
    <col min="4614" max="4614" width="11.7109375" style="123" customWidth="1"/>
    <col min="4615" max="4615" width="12.42578125" style="123" customWidth="1"/>
    <col min="4616" max="4616" width="13.42578125" style="123" customWidth="1"/>
    <col min="4617" max="4865" width="9.140625" style="123"/>
    <col min="4866" max="4866" width="49.140625" style="123" customWidth="1"/>
    <col min="4867" max="4867" width="20.7109375" style="123" customWidth="1"/>
    <col min="4868" max="4868" width="9.140625" style="123"/>
    <col min="4869" max="4869" width="11.85546875" style="123" customWidth="1"/>
    <col min="4870" max="4870" width="11.7109375" style="123" customWidth="1"/>
    <col min="4871" max="4871" width="12.42578125" style="123" customWidth="1"/>
    <col min="4872" max="4872" width="13.42578125" style="123" customWidth="1"/>
    <col min="4873" max="5121" width="9.140625" style="123"/>
    <col min="5122" max="5122" width="49.140625" style="123" customWidth="1"/>
    <col min="5123" max="5123" width="20.7109375" style="123" customWidth="1"/>
    <col min="5124" max="5124" width="9.140625" style="123"/>
    <col min="5125" max="5125" width="11.85546875" style="123" customWidth="1"/>
    <col min="5126" max="5126" width="11.7109375" style="123" customWidth="1"/>
    <col min="5127" max="5127" width="12.42578125" style="123" customWidth="1"/>
    <col min="5128" max="5128" width="13.42578125" style="123" customWidth="1"/>
    <col min="5129" max="5377" width="9.140625" style="123"/>
    <col min="5378" max="5378" width="49.140625" style="123" customWidth="1"/>
    <col min="5379" max="5379" width="20.7109375" style="123" customWidth="1"/>
    <col min="5380" max="5380" width="9.140625" style="123"/>
    <col min="5381" max="5381" width="11.85546875" style="123" customWidth="1"/>
    <col min="5382" max="5382" width="11.7109375" style="123" customWidth="1"/>
    <col min="5383" max="5383" width="12.42578125" style="123" customWidth="1"/>
    <col min="5384" max="5384" width="13.42578125" style="123" customWidth="1"/>
    <col min="5385" max="5633" width="9.140625" style="123"/>
    <col min="5634" max="5634" width="49.140625" style="123" customWidth="1"/>
    <col min="5635" max="5635" width="20.7109375" style="123" customWidth="1"/>
    <col min="5636" max="5636" width="9.140625" style="123"/>
    <col min="5637" max="5637" width="11.85546875" style="123" customWidth="1"/>
    <col min="5638" max="5638" width="11.7109375" style="123" customWidth="1"/>
    <col min="5639" max="5639" width="12.42578125" style="123" customWidth="1"/>
    <col min="5640" max="5640" width="13.42578125" style="123" customWidth="1"/>
    <col min="5641" max="5889" width="9.140625" style="123"/>
    <col min="5890" max="5890" width="49.140625" style="123" customWidth="1"/>
    <col min="5891" max="5891" width="20.7109375" style="123" customWidth="1"/>
    <col min="5892" max="5892" width="9.140625" style="123"/>
    <col min="5893" max="5893" width="11.85546875" style="123" customWidth="1"/>
    <col min="5894" max="5894" width="11.7109375" style="123" customWidth="1"/>
    <col min="5895" max="5895" width="12.42578125" style="123" customWidth="1"/>
    <col min="5896" max="5896" width="13.42578125" style="123" customWidth="1"/>
    <col min="5897" max="6145" width="9.140625" style="123"/>
    <col min="6146" max="6146" width="49.140625" style="123" customWidth="1"/>
    <col min="6147" max="6147" width="20.7109375" style="123" customWidth="1"/>
    <col min="6148" max="6148" width="9.140625" style="123"/>
    <col min="6149" max="6149" width="11.85546875" style="123" customWidth="1"/>
    <col min="6150" max="6150" width="11.7109375" style="123" customWidth="1"/>
    <col min="6151" max="6151" width="12.42578125" style="123" customWidth="1"/>
    <col min="6152" max="6152" width="13.42578125" style="123" customWidth="1"/>
    <col min="6153" max="6401" width="9.140625" style="123"/>
    <col min="6402" max="6402" width="49.140625" style="123" customWidth="1"/>
    <col min="6403" max="6403" width="20.7109375" style="123" customWidth="1"/>
    <col min="6404" max="6404" width="9.140625" style="123"/>
    <col min="6405" max="6405" width="11.85546875" style="123" customWidth="1"/>
    <col min="6406" max="6406" width="11.7109375" style="123" customWidth="1"/>
    <col min="6407" max="6407" width="12.42578125" style="123" customWidth="1"/>
    <col min="6408" max="6408" width="13.42578125" style="123" customWidth="1"/>
    <col min="6409" max="6657" width="9.140625" style="123"/>
    <col min="6658" max="6658" width="49.140625" style="123" customWidth="1"/>
    <col min="6659" max="6659" width="20.7109375" style="123" customWidth="1"/>
    <col min="6660" max="6660" width="9.140625" style="123"/>
    <col min="6661" max="6661" width="11.85546875" style="123" customWidth="1"/>
    <col min="6662" max="6662" width="11.7109375" style="123" customWidth="1"/>
    <col min="6663" max="6663" width="12.42578125" style="123" customWidth="1"/>
    <col min="6664" max="6664" width="13.42578125" style="123" customWidth="1"/>
    <col min="6665" max="6913" width="9.140625" style="123"/>
    <col min="6914" max="6914" width="49.140625" style="123" customWidth="1"/>
    <col min="6915" max="6915" width="20.7109375" style="123" customWidth="1"/>
    <col min="6916" max="6916" width="9.140625" style="123"/>
    <col min="6917" max="6917" width="11.85546875" style="123" customWidth="1"/>
    <col min="6918" max="6918" width="11.7109375" style="123" customWidth="1"/>
    <col min="6919" max="6919" width="12.42578125" style="123" customWidth="1"/>
    <col min="6920" max="6920" width="13.42578125" style="123" customWidth="1"/>
    <col min="6921" max="7169" width="9.140625" style="123"/>
    <col min="7170" max="7170" width="49.140625" style="123" customWidth="1"/>
    <col min="7171" max="7171" width="20.7109375" style="123" customWidth="1"/>
    <col min="7172" max="7172" width="9.140625" style="123"/>
    <col min="7173" max="7173" width="11.85546875" style="123" customWidth="1"/>
    <col min="7174" max="7174" width="11.7109375" style="123" customWidth="1"/>
    <col min="7175" max="7175" width="12.42578125" style="123" customWidth="1"/>
    <col min="7176" max="7176" width="13.42578125" style="123" customWidth="1"/>
    <col min="7177" max="7425" width="9.140625" style="123"/>
    <col min="7426" max="7426" width="49.140625" style="123" customWidth="1"/>
    <col min="7427" max="7427" width="20.7109375" style="123" customWidth="1"/>
    <col min="7428" max="7428" width="9.140625" style="123"/>
    <col min="7429" max="7429" width="11.85546875" style="123" customWidth="1"/>
    <col min="7430" max="7430" width="11.7109375" style="123" customWidth="1"/>
    <col min="7431" max="7431" width="12.42578125" style="123" customWidth="1"/>
    <col min="7432" max="7432" width="13.42578125" style="123" customWidth="1"/>
    <col min="7433" max="7681" width="9.140625" style="123"/>
    <col min="7682" max="7682" width="49.140625" style="123" customWidth="1"/>
    <col min="7683" max="7683" width="20.7109375" style="123" customWidth="1"/>
    <col min="7684" max="7684" width="9.140625" style="123"/>
    <col min="7685" max="7685" width="11.85546875" style="123" customWidth="1"/>
    <col min="7686" max="7686" width="11.7109375" style="123" customWidth="1"/>
    <col min="7687" max="7687" width="12.42578125" style="123" customWidth="1"/>
    <col min="7688" max="7688" width="13.42578125" style="123" customWidth="1"/>
    <col min="7689" max="7937" width="9.140625" style="123"/>
    <col min="7938" max="7938" width="49.140625" style="123" customWidth="1"/>
    <col min="7939" max="7939" width="20.7109375" style="123" customWidth="1"/>
    <col min="7940" max="7940" width="9.140625" style="123"/>
    <col min="7941" max="7941" width="11.85546875" style="123" customWidth="1"/>
    <col min="7942" max="7942" width="11.7109375" style="123" customWidth="1"/>
    <col min="7943" max="7943" width="12.42578125" style="123" customWidth="1"/>
    <col min="7944" max="7944" width="13.42578125" style="123" customWidth="1"/>
    <col min="7945" max="8193" width="9.140625" style="123"/>
    <col min="8194" max="8194" width="49.140625" style="123" customWidth="1"/>
    <col min="8195" max="8195" width="20.7109375" style="123" customWidth="1"/>
    <col min="8196" max="8196" width="9.140625" style="123"/>
    <col min="8197" max="8197" width="11.85546875" style="123" customWidth="1"/>
    <col min="8198" max="8198" width="11.7109375" style="123" customWidth="1"/>
    <col min="8199" max="8199" width="12.42578125" style="123" customWidth="1"/>
    <col min="8200" max="8200" width="13.42578125" style="123" customWidth="1"/>
    <col min="8201" max="8449" width="9.140625" style="123"/>
    <col min="8450" max="8450" width="49.140625" style="123" customWidth="1"/>
    <col min="8451" max="8451" width="20.7109375" style="123" customWidth="1"/>
    <col min="8452" max="8452" width="9.140625" style="123"/>
    <col min="8453" max="8453" width="11.85546875" style="123" customWidth="1"/>
    <col min="8454" max="8454" width="11.7109375" style="123" customWidth="1"/>
    <col min="8455" max="8455" width="12.42578125" style="123" customWidth="1"/>
    <col min="8456" max="8456" width="13.42578125" style="123" customWidth="1"/>
    <col min="8457" max="8705" width="9.140625" style="123"/>
    <col min="8706" max="8706" width="49.140625" style="123" customWidth="1"/>
    <col min="8707" max="8707" width="20.7109375" style="123" customWidth="1"/>
    <col min="8708" max="8708" width="9.140625" style="123"/>
    <col min="8709" max="8709" width="11.85546875" style="123" customWidth="1"/>
    <col min="8710" max="8710" width="11.7109375" style="123" customWidth="1"/>
    <col min="8711" max="8711" width="12.42578125" style="123" customWidth="1"/>
    <col min="8712" max="8712" width="13.42578125" style="123" customWidth="1"/>
    <col min="8713" max="8961" width="9.140625" style="123"/>
    <col min="8962" max="8962" width="49.140625" style="123" customWidth="1"/>
    <col min="8963" max="8963" width="20.7109375" style="123" customWidth="1"/>
    <col min="8964" max="8964" width="9.140625" style="123"/>
    <col min="8965" max="8965" width="11.85546875" style="123" customWidth="1"/>
    <col min="8966" max="8966" width="11.7109375" style="123" customWidth="1"/>
    <col min="8967" max="8967" width="12.42578125" style="123" customWidth="1"/>
    <col min="8968" max="8968" width="13.42578125" style="123" customWidth="1"/>
    <col min="8969" max="9217" width="9.140625" style="123"/>
    <col min="9218" max="9218" width="49.140625" style="123" customWidth="1"/>
    <col min="9219" max="9219" width="20.7109375" style="123" customWidth="1"/>
    <col min="9220" max="9220" width="9.140625" style="123"/>
    <col min="9221" max="9221" width="11.85546875" style="123" customWidth="1"/>
    <col min="9222" max="9222" width="11.7109375" style="123" customWidth="1"/>
    <col min="9223" max="9223" width="12.42578125" style="123" customWidth="1"/>
    <col min="9224" max="9224" width="13.42578125" style="123" customWidth="1"/>
    <col min="9225" max="9473" width="9.140625" style="123"/>
    <col min="9474" max="9474" width="49.140625" style="123" customWidth="1"/>
    <col min="9475" max="9475" width="20.7109375" style="123" customWidth="1"/>
    <col min="9476" max="9476" width="9.140625" style="123"/>
    <col min="9477" max="9477" width="11.85546875" style="123" customWidth="1"/>
    <col min="9478" max="9478" width="11.7109375" style="123" customWidth="1"/>
    <col min="9479" max="9479" width="12.42578125" style="123" customWidth="1"/>
    <col min="9480" max="9480" width="13.42578125" style="123" customWidth="1"/>
    <col min="9481" max="9729" width="9.140625" style="123"/>
    <col min="9730" max="9730" width="49.140625" style="123" customWidth="1"/>
    <col min="9731" max="9731" width="20.7109375" style="123" customWidth="1"/>
    <col min="9732" max="9732" width="9.140625" style="123"/>
    <col min="9733" max="9733" width="11.85546875" style="123" customWidth="1"/>
    <col min="9734" max="9734" width="11.7109375" style="123" customWidth="1"/>
    <col min="9735" max="9735" width="12.42578125" style="123" customWidth="1"/>
    <col min="9736" max="9736" width="13.42578125" style="123" customWidth="1"/>
    <col min="9737" max="9985" width="9.140625" style="123"/>
    <col min="9986" max="9986" width="49.140625" style="123" customWidth="1"/>
    <col min="9987" max="9987" width="20.7109375" style="123" customWidth="1"/>
    <col min="9988" max="9988" width="9.140625" style="123"/>
    <col min="9989" max="9989" width="11.85546875" style="123" customWidth="1"/>
    <col min="9990" max="9990" width="11.7109375" style="123" customWidth="1"/>
    <col min="9991" max="9991" width="12.42578125" style="123" customWidth="1"/>
    <col min="9992" max="9992" width="13.42578125" style="123" customWidth="1"/>
    <col min="9993" max="10241" width="9.140625" style="123"/>
    <col min="10242" max="10242" width="49.140625" style="123" customWidth="1"/>
    <col min="10243" max="10243" width="20.7109375" style="123" customWidth="1"/>
    <col min="10244" max="10244" width="9.140625" style="123"/>
    <col min="10245" max="10245" width="11.85546875" style="123" customWidth="1"/>
    <col min="10246" max="10246" width="11.7109375" style="123" customWidth="1"/>
    <col min="10247" max="10247" width="12.42578125" style="123" customWidth="1"/>
    <col min="10248" max="10248" width="13.42578125" style="123" customWidth="1"/>
    <col min="10249" max="10497" width="9.140625" style="123"/>
    <col min="10498" max="10498" width="49.140625" style="123" customWidth="1"/>
    <col min="10499" max="10499" width="20.7109375" style="123" customWidth="1"/>
    <col min="10500" max="10500" width="9.140625" style="123"/>
    <col min="10501" max="10501" width="11.85546875" style="123" customWidth="1"/>
    <col min="10502" max="10502" width="11.7109375" style="123" customWidth="1"/>
    <col min="10503" max="10503" width="12.42578125" style="123" customWidth="1"/>
    <col min="10504" max="10504" width="13.42578125" style="123" customWidth="1"/>
    <col min="10505" max="10753" width="9.140625" style="123"/>
    <col min="10754" max="10754" width="49.140625" style="123" customWidth="1"/>
    <col min="10755" max="10755" width="20.7109375" style="123" customWidth="1"/>
    <col min="10756" max="10756" width="9.140625" style="123"/>
    <col min="10757" max="10757" width="11.85546875" style="123" customWidth="1"/>
    <col min="10758" max="10758" width="11.7109375" style="123" customWidth="1"/>
    <col min="10759" max="10759" width="12.42578125" style="123" customWidth="1"/>
    <col min="10760" max="10760" width="13.42578125" style="123" customWidth="1"/>
    <col min="10761" max="11009" width="9.140625" style="123"/>
    <col min="11010" max="11010" width="49.140625" style="123" customWidth="1"/>
    <col min="11011" max="11011" width="20.7109375" style="123" customWidth="1"/>
    <col min="11012" max="11012" width="9.140625" style="123"/>
    <col min="11013" max="11013" width="11.85546875" style="123" customWidth="1"/>
    <col min="11014" max="11014" width="11.7109375" style="123" customWidth="1"/>
    <col min="11015" max="11015" width="12.42578125" style="123" customWidth="1"/>
    <col min="11016" max="11016" width="13.42578125" style="123" customWidth="1"/>
    <col min="11017" max="11265" width="9.140625" style="123"/>
    <col min="11266" max="11266" width="49.140625" style="123" customWidth="1"/>
    <col min="11267" max="11267" width="20.7109375" style="123" customWidth="1"/>
    <col min="11268" max="11268" width="9.140625" style="123"/>
    <col min="11269" max="11269" width="11.85546875" style="123" customWidth="1"/>
    <col min="11270" max="11270" width="11.7109375" style="123" customWidth="1"/>
    <col min="11271" max="11271" width="12.42578125" style="123" customWidth="1"/>
    <col min="11272" max="11272" width="13.42578125" style="123" customWidth="1"/>
    <col min="11273" max="11521" width="9.140625" style="123"/>
    <col min="11522" max="11522" width="49.140625" style="123" customWidth="1"/>
    <col min="11523" max="11523" width="20.7109375" style="123" customWidth="1"/>
    <col min="11524" max="11524" width="9.140625" style="123"/>
    <col min="11525" max="11525" width="11.85546875" style="123" customWidth="1"/>
    <col min="11526" max="11526" width="11.7109375" style="123" customWidth="1"/>
    <col min="11527" max="11527" width="12.42578125" style="123" customWidth="1"/>
    <col min="11528" max="11528" width="13.42578125" style="123" customWidth="1"/>
    <col min="11529" max="11777" width="9.140625" style="123"/>
    <col min="11778" max="11778" width="49.140625" style="123" customWidth="1"/>
    <col min="11779" max="11779" width="20.7109375" style="123" customWidth="1"/>
    <col min="11780" max="11780" width="9.140625" style="123"/>
    <col min="11781" max="11781" width="11.85546875" style="123" customWidth="1"/>
    <col min="11782" max="11782" width="11.7109375" style="123" customWidth="1"/>
    <col min="11783" max="11783" width="12.42578125" style="123" customWidth="1"/>
    <col min="11784" max="11784" width="13.42578125" style="123" customWidth="1"/>
    <col min="11785" max="12033" width="9.140625" style="123"/>
    <col min="12034" max="12034" width="49.140625" style="123" customWidth="1"/>
    <col min="12035" max="12035" width="20.7109375" style="123" customWidth="1"/>
    <col min="12036" max="12036" width="9.140625" style="123"/>
    <col min="12037" max="12037" width="11.85546875" style="123" customWidth="1"/>
    <col min="12038" max="12038" width="11.7109375" style="123" customWidth="1"/>
    <col min="12039" max="12039" width="12.42578125" style="123" customWidth="1"/>
    <col min="12040" max="12040" width="13.42578125" style="123" customWidth="1"/>
    <col min="12041" max="12289" width="9.140625" style="123"/>
    <col min="12290" max="12290" width="49.140625" style="123" customWidth="1"/>
    <col min="12291" max="12291" width="20.7109375" style="123" customWidth="1"/>
    <col min="12292" max="12292" width="9.140625" style="123"/>
    <col min="12293" max="12293" width="11.85546875" style="123" customWidth="1"/>
    <col min="12294" max="12294" width="11.7109375" style="123" customWidth="1"/>
    <col min="12295" max="12295" width="12.42578125" style="123" customWidth="1"/>
    <col min="12296" max="12296" width="13.42578125" style="123" customWidth="1"/>
    <col min="12297" max="12545" width="9.140625" style="123"/>
    <col min="12546" max="12546" width="49.140625" style="123" customWidth="1"/>
    <col min="12547" max="12547" width="20.7109375" style="123" customWidth="1"/>
    <col min="12548" max="12548" width="9.140625" style="123"/>
    <col min="12549" max="12549" width="11.85546875" style="123" customWidth="1"/>
    <col min="12550" max="12550" width="11.7109375" style="123" customWidth="1"/>
    <col min="12551" max="12551" width="12.42578125" style="123" customWidth="1"/>
    <col min="12552" max="12552" width="13.42578125" style="123" customWidth="1"/>
    <col min="12553" max="12801" width="9.140625" style="123"/>
    <col min="12802" max="12802" width="49.140625" style="123" customWidth="1"/>
    <col min="12803" max="12803" width="20.7109375" style="123" customWidth="1"/>
    <col min="12804" max="12804" width="9.140625" style="123"/>
    <col min="12805" max="12805" width="11.85546875" style="123" customWidth="1"/>
    <col min="12806" max="12806" width="11.7109375" style="123" customWidth="1"/>
    <col min="12807" max="12807" width="12.42578125" style="123" customWidth="1"/>
    <col min="12808" max="12808" width="13.42578125" style="123" customWidth="1"/>
    <col min="12809" max="13057" width="9.140625" style="123"/>
    <col min="13058" max="13058" width="49.140625" style="123" customWidth="1"/>
    <col min="13059" max="13059" width="20.7109375" style="123" customWidth="1"/>
    <col min="13060" max="13060" width="9.140625" style="123"/>
    <col min="13061" max="13061" width="11.85546875" style="123" customWidth="1"/>
    <col min="13062" max="13062" width="11.7109375" style="123" customWidth="1"/>
    <col min="13063" max="13063" width="12.42578125" style="123" customWidth="1"/>
    <col min="13064" max="13064" width="13.42578125" style="123" customWidth="1"/>
    <col min="13065" max="13313" width="9.140625" style="123"/>
    <col min="13314" max="13314" width="49.140625" style="123" customWidth="1"/>
    <col min="13315" max="13315" width="20.7109375" style="123" customWidth="1"/>
    <col min="13316" max="13316" width="9.140625" style="123"/>
    <col min="13317" max="13317" width="11.85546875" style="123" customWidth="1"/>
    <col min="13318" max="13318" width="11.7109375" style="123" customWidth="1"/>
    <col min="13319" max="13319" width="12.42578125" style="123" customWidth="1"/>
    <col min="13320" max="13320" width="13.42578125" style="123" customWidth="1"/>
    <col min="13321" max="13569" width="9.140625" style="123"/>
    <col min="13570" max="13570" width="49.140625" style="123" customWidth="1"/>
    <col min="13571" max="13571" width="20.7109375" style="123" customWidth="1"/>
    <col min="13572" max="13572" width="9.140625" style="123"/>
    <col min="13573" max="13573" width="11.85546875" style="123" customWidth="1"/>
    <col min="13574" max="13574" width="11.7109375" style="123" customWidth="1"/>
    <col min="13575" max="13575" width="12.42578125" style="123" customWidth="1"/>
    <col min="13576" max="13576" width="13.42578125" style="123" customWidth="1"/>
    <col min="13577" max="13825" width="9.140625" style="123"/>
    <col min="13826" max="13826" width="49.140625" style="123" customWidth="1"/>
    <col min="13827" max="13827" width="20.7109375" style="123" customWidth="1"/>
    <col min="13828" max="13828" width="9.140625" style="123"/>
    <col min="13829" max="13829" width="11.85546875" style="123" customWidth="1"/>
    <col min="13830" max="13830" width="11.7109375" style="123" customWidth="1"/>
    <col min="13831" max="13831" width="12.42578125" style="123" customWidth="1"/>
    <col min="13832" max="13832" width="13.42578125" style="123" customWidth="1"/>
    <col min="13833" max="14081" width="9.140625" style="123"/>
    <col min="14082" max="14082" width="49.140625" style="123" customWidth="1"/>
    <col min="14083" max="14083" width="20.7109375" style="123" customWidth="1"/>
    <col min="14084" max="14084" width="9.140625" style="123"/>
    <col min="14085" max="14085" width="11.85546875" style="123" customWidth="1"/>
    <col min="14086" max="14086" width="11.7109375" style="123" customWidth="1"/>
    <col min="14087" max="14087" width="12.42578125" style="123" customWidth="1"/>
    <col min="14088" max="14088" width="13.42578125" style="123" customWidth="1"/>
    <col min="14089" max="14337" width="9.140625" style="123"/>
    <col min="14338" max="14338" width="49.140625" style="123" customWidth="1"/>
    <col min="14339" max="14339" width="20.7109375" style="123" customWidth="1"/>
    <col min="14340" max="14340" width="9.140625" style="123"/>
    <col min="14341" max="14341" width="11.85546875" style="123" customWidth="1"/>
    <col min="14342" max="14342" width="11.7109375" style="123" customWidth="1"/>
    <col min="14343" max="14343" width="12.42578125" style="123" customWidth="1"/>
    <col min="14344" max="14344" width="13.42578125" style="123" customWidth="1"/>
    <col min="14345" max="14593" width="9.140625" style="123"/>
    <col min="14594" max="14594" width="49.140625" style="123" customWidth="1"/>
    <col min="14595" max="14595" width="20.7109375" style="123" customWidth="1"/>
    <col min="14596" max="14596" width="9.140625" style="123"/>
    <col min="14597" max="14597" width="11.85546875" style="123" customWidth="1"/>
    <col min="14598" max="14598" width="11.7109375" style="123" customWidth="1"/>
    <col min="14599" max="14599" width="12.42578125" style="123" customWidth="1"/>
    <col min="14600" max="14600" width="13.42578125" style="123" customWidth="1"/>
    <col min="14601" max="14849" width="9.140625" style="123"/>
    <col min="14850" max="14850" width="49.140625" style="123" customWidth="1"/>
    <col min="14851" max="14851" width="20.7109375" style="123" customWidth="1"/>
    <col min="14852" max="14852" width="9.140625" style="123"/>
    <col min="14853" max="14853" width="11.85546875" style="123" customWidth="1"/>
    <col min="14854" max="14854" width="11.7109375" style="123" customWidth="1"/>
    <col min="14855" max="14855" width="12.42578125" style="123" customWidth="1"/>
    <col min="14856" max="14856" width="13.42578125" style="123" customWidth="1"/>
    <col min="14857" max="15105" width="9.140625" style="123"/>
    <col min="15106" max="15106" width="49.140625" style="123" customWidth="1"/>
    <col min="15107" max="15107" width="20.7109375" style="123" customWidth="1"/>
    <col min="15108" max="15108" width="9.140625" style="123"/>
    <col min="15109" max="15109" width="11.85546875" style="123" customWidth="1"/>
    <col min="15110" max="15110" width="11.7109375" style="123" customWidth="1"/>
    <col min="15111" max="15111" width="12.42578125" style="123" customWidth="1"/>
    <col min="15112" max="15112" width="13.42578125" style="123" customWidth="1"/>
    <col min="15113" max="15361" width="9.140625" style="123"/>
    <col min="15362" max="15362" width="49.140625" style="123" customWidth="1"/>
    <col min="15363" max="15363" width="20.7109375" style="123" customWidth="1"/>
    <col min="15364" max="15364" width="9.140625" style="123"/>
    <col min="15365" max="15365" width="11.85546875" style="123" customWidth="1"/>
    <col min="15366" max="15366" width="11.7109375" style="123" customWidth="1"/>
    <col min="15367" max="15367" width="12.42578125" style="123" customWidth="1"/>
    <col min="15368" max="15368" width="13.42578125" style="123" customWidth="1"/>
    <col min="15369" max="15617" width="9.140625" style="123"/>
    <col min="15618" max="15618" width="49.140625" style="123" customWidth="1"/>
    <col min="15619" max="15619" width="20.7109375" style="123" customWidth="1"/>
    <col min="15620" max="15620" width="9.140625" style="123"/>
    <col min="15621" max="15621" width="11.85546875" style="123" customWidth="1"/>
    <col min="15622" max="15622" width="11.7109375" style="123" customWidth="1"/>
    <col min="15623" max="15623" width="12.42578125" style="123" customWidth="1"/>
    <col min="15624" max="15624" width="13.42578125" style="123" customWidth="1"/>
    <col min="15625" max="15873" width="9.140625" style="123"/>
    <col min="15874" max="15874" width="49.140625" style="123" customWidth="1"/>
    <col min="15875" max="15875" width="20.7109375" style="123" customWidth="1"/>
    <col min="15876" max="15876" width="9.140625" style="123"/>
    <col min="15877" max="15877" width="11.85546875" style="123" customWidth="1"/>
    <col min="15878" max="15878" width="11.7109375" style="123" customWidth="1"/>
    <col min="15879" max="15879" width="12.42578125" style="123" customWidth="1"/>
    <col min="15880" max="15880" width="13.42578125" style="123" customWidth="1"/>
    <col min="15881" max="16129" width="9.140625" style="123"/>
    <col min="16130" max="16130" width="49.140625" style="123" customWidth="1"/>
    <col min="16131" max="16131" width="20.7109375" style="123" customWidth="1"/>
    <col min="16132" max="16132" width="9.140625" style="123"/>
    <col min="16133" max="16133" width="11.85546875" style="123" customWidth="1"/>
    <col min="16134" max="16134" width="11.7109375" style="123" customWidth="1"/>
    <col min="16135" max="16135" width="12.42578125" style="123" customWidth="1"/>
    <col min="16136" max="16136" width="13.42578125" style="123" customWidth="1"/>
    <col min="16137" max="16384" width="9.140625" style="123"/>
  </cols>
  <sheetData>
    <row r="1" spans="2:13" ht="20.100000000000001" customHeight="1">
      <c r="B1" s="1119" t="s">
        <v>661</v>
      </c>
      <c r="C1" s="1126"/>
      <c r="D1" s="1126"/>
      <c r="E1" s="1126"/>
      <c r="F1" s="1126"/>
      <c r="G1" s="1126"/>
      <c r="H1" s="1120"/>
      <c r="I1" s="124"/>
      <c r="J1" s="124"/>
      <c r="K1" s="124"/>
      <c r="L1" s="124"/>
      <c r="M1" s="124"/>
    </row>
    <row r="2" spans="2:13" ht="20.100000000000001" customHeight="1">
      <c r="B2" s="1121" t="s">
        <v>272</v>
      </c>
      <c r="C2" s="1123"/>
      <c r="E2" s="521">
        <v>1</v>
      </c>
      <c r="F2" s="521">
        <v>2</v>
      </c>
      <c r="G2" s="521">
        <v>3</v>
      </c>
      <c r="H2" s="522">
        <v>4</v>
      </c>
    </row>
    <row r="3" spans="2:13" ht="20.100000000000001" customHeight="1">
      <c r="B3" s="510" t="s">
        <v>273</v>
      </c>
      <c r="C3" s="152">
        <f>' Break EvenPoint'!E3</f>
        <v>4420.4731647530152</v>
      </c>
      <c r="E3" s="152">
        <f>C3-C3*0.11</f>
        <v>3934.2211166301836</v>
      </c>
      <c r="F3" s="152">
        <f>C3</f>
        <v>4420.4731647530152</v>
      </c>
      <c r="G3" s="152">
        <f>C3-C3*0.05</f>
        <v>4199.4495065153642</v>
      </c>
      <c r="H3" s="511">
        <f>C3</f>
        <v>4420.4731647530152</v>
      </c>
    </row>
    <row r="4" spans="2:13" ht="20.100000000000001" customHeight="1">
      <c r="B4" s="510" t="s">
        <v>274</v>
      </c>
      <c r="C4" s="153"/>
      <c r="E4" s="154"/>
      <c r="F4" s="154"/>
      <c r="G4" s="154"/>
      <c r="H4" s="514"/>
    </row>
    <row r="5" spans="2:13" ht="20.100000000000001" customHeight="1">
      <c r="B5" s="513" t="s">
        <v>447</v>
      </c>
      <c r="C5" s="154">
        <f>' Break EvenPoint'!E5</f>
        <v>1733.5934560587659</v>
      </c>
      <c r="E5" s="154">
        <f>C5</f>
        <v>1733.5934560587659</v>
      </c>
      <c r="F5" s="154">
        <f>E5+E5*16.5%</f>
        <v>2019.6363763084623</v>
      </c>
      <c r="G5" s="154">
        <f>C5+C5*0.09</f>
        <v>1889.6168671040548</v>
      </c>
      <c r="H5" s="514">
        <f>C5</f>
        <v>1733.5934560587659</v>
      </c>
    </row>
    <row r="6" spans="2:13" ht="20.100000000000001" customHeight="1">
      <c r="B6" s="513" t="s">
        <v>17</v>
      </c>
      <c r="C6" s="154">
        <f>' Break EvenPoint'!E6</f>
        <v>224.29620186874999</v>
      </c>
      <c r="E6" s="154">
        <f>C6</f>
        <v>224.29620186874999</v>
      </c>
      <c r="F6" s="154">
        <f>E6</f>
        <v>224.29620186874999</v>
      </c>
      <c r="G6" s="154">
        <f>F6</f>
        <v>224.29620186874999</v>
      </c>
      <c r="H6" s="514">
        <f>G6</f>
        <v>224.29620186874999</v>
      </c>
    </row>
    <row r="7" spans="2:13" ht="20.100000000000001" customHeight="1">
      <c r="B7" s="513" t="s">
        <v>15</v>
      </c>
      <c r="C7" s="154">
        <f>' Break EvenPoint'!E7</f>
        <v>35.010976714999991</v>
      </c>
      <c r="E7" s="154">
        <f>C7</f>
        <v>35.010976714999991</v>
      </c>
      <c r="F7" s="154">
        <f t="shared" ref="F7:H8" si="0">E7</f>
        <v>35.010976714999991</v>
      </c>
      <c r="G7" s="154">
        <f t="shared" si="0"/>
        <v>35.010976714999991</v>
      </c>
      <c r="H7" s="514">
        <f t="shared" si="0"/>
        <v>35.010976714999991</v>
      </c>
    </row>
    <row r="8" spans="2:13" ht="20.100000000000001" customHeight="1">
      <c r="B8" s="513" t="s">
        <v>21</v>
      </c>
      <c r="C8" s="154">
        <f>' Break EvenPoint'!E8</f>
        <v>136.82556327537642</v>
      </c>
      <c r="E8" s="154">
        <f>C8</f>
        <v>136.82556327537642</v>
      </c>
      <c r="F8" s="154">
        <f t="shared" si="0"/>
        <v>136.82556327537642</v>
      </c>
      <c r="G8" s="154">
        <f t="shared" si="0"/>
        <v>136.82556327537642</v>
      </c>
      <c r="H8" s="514">
        <f t="shared" si="0"/>
        <v>136.82556327537642</v>
      </c>
    </row>
    <row r="9" spans="2:13" ht="20.100000000000001" customHeight="1">
      <c r="B9" s="515" t="s">
        <v>275</v>
      </c>
      <c r="C9" s="152">
        <f>SUM(C5:C8)</f>
        <v>2129.726197917892</v>
      </c>
      <c r="D9" s="130"/>
      <c r="E9" s="152">
        <f>SUM(E5:E8)</f>
        <v>2129.726197917892</v>
      </c>
      <c r="F9" s="152">
        <f>SUM(F5:F8)</f>
        <v>2415.7691181675887</v>
      </c>
      <c r="G9" s="152">
        <f>SUM(G5:G8)</f>
        <v>2285.7496089631813</v>
      </c>
      <c r="H9" s="511">
        <f>SUM(H5:H8)+SUM(H5:H8)*14.5%</f>
        <v>2438.5364966159864</v>
      </c>
    </row>
    <row r="10" spans="2:13" ht="20.100000000000001" customHeight="1">
      <c r="B10" s="510" t="s">
        <v>276</v>
      </c>
      <c r="C10" s="152">
        <f>+C3-C9</f>
        <v>2290.7469668351232</v>
      </c>
      <c r="E10" s="152">
        <f>+E3-E9</f>
        <v>1804.4949187122916</v>
      </c>
      <c r="F10" s="152">
        <f>+F3-F9</f>
        <v>2004.7040465854266</v>
      </c>
      <c r="G10" s="152">
        <f>+G3-G9</f>
        <v>1913.6998975521828</v>
      </c>
      <c r="H10" s="511">
        <f>+H3-H9</f>
        <v>1981.9366681370288</v>
      </c>
      <c r="I10" s="125"/>
    </row>
    <row r="11" spans="2:13" ht="20.100000000000001" customHeight="1">
      <c r="B11" s="510" t="s">
        <v>277</v>
      </c>
      <c r="C11" s="153"/>
      <c r="E11" s="125"/>
      <c r="F11" s="125"/>
      <c r="G11" s="127"/>
      <c r="H11" s="518"/>
      <c r="I11" s="125"/>
    </row>
    <row r="12" spans="2:13" ht="20.100000000000001" customHeight="1">
      <c r="B12" s="513" t="s">
        <v>20</v>
      </c>
      <c r="C12" s="154">
        <f>' Break EvenPoint'!E12</f>
        <v>114.01719891595445</v>
      </c>
      <c r="E12" s="154">
        <f>C12</f>
        <v>114.01719891595445</v>
      </c>
      <c r="F12" s="154">
        <f t="shared" ref="F12:H13" si="1">E12</f>
        <v>114.01719891595445</v>
      </c>
      <c r="G12" s="154">
        <f t="shared" si="1"/>
        <v>114.01719891595445</v>
      </c>
      <c r="H12" s="514">
        <f t="shared" si="1"/>
        <v>114.01719891595445</v>
      </c>
      <c r="I12" s="125"/>
    </row>
    <row r="13" spans="2:13" ht="20.100000000000001" customHeight="1">
      <c r="B13" s="513" t="s">
        <v>31</v>
      </c>
      <c r="C13" s="154">
        <f>' Break EvenPoint'!E14</f>
        <v>605.34501838079996</v>
      </c>
      <c r="E13" s="154">
        <f>C13</f>
        <v>605.34501838079996</v>
      </c>
      <c r="F13" s="154">
        <f t="shared" si="1"/>
        <v>605.34501838079996</v>
      </c>
      <c r="G13" s="154">
        <f t="shared" si="1"/>
        <v>605.34501838079996</v>
      </c>
      <c r="H13" s="514">
        <f t="shared" si="1"/>
        <v>605.34501838079996</v>
      </c>
      <c r="I13" s="132"/>
    </row>
    <row r="14" spans="2:13" ht="20.100000000000001" customHeight="1">
      <c r="B14" s="513" t="s">
        <v>471</v>
      </c>
      <c r="C14" s="154">
        <f>'Interest Calculation'!B12</f>
        <v>454.00876378559997</v>
      </c>
      <c r="E14" s="154">
        <f>C14</f>
        <v>454.00876378559997</v>
      </c>
      <c r="F14" s="154">
        <f>E14</f>
        <v>454.00876378559997</v>
      </c>
      <c r="G14" s="154">
        <f t="shared" ref="G14:H14" si="2">E14</f>
        <v>454.00876378559997</v>
      </c>
      <c r="H14" s="514">
        <f t="shared" si="2"/>
        <v>454.00876378559997</v>
      </c>
      <c r="I14" s="132"/>
    </row>
    <row r="15" spans="2:13" ht="20.100000000000001" customHeight="1">
      <c r="B15" s="513" t="s">
        <v>144</v>
      </c>
      <c r="C15" s="152">
        <f>SUM(C12:C14)</f>
        <v>1173.3709810823543</v>
      </c>
      <c r="E15" s="152">
        <f>SUM(E12:E14)</f>
        <v>1173.3709810823543</v>
      </c>
      <c r="F15" s="152">
        <f>SUM(F12:F14)</f>
        <v>1173.3709810823543</v>
      </c>
      <c r="G15" s="152">
        <f>SUM(G12:G14)</f>
        <v>1173.3709810823543</v>
      </c>
      <c r="H15" s="511">
        <f>SUM(H12:H14)</f>
        <v>1173.3709810823543</v>
      </c>
      <c r="I15" s="132"/>
    </row>
    <row r="16" spans="2:13" ht="20.100000000000001" customHeight="1">
      <c r="B16" s="516" t="s">
        <v>278</v>
      </c>
      <c r="C16" s="519">
        <f>C15/C10</f>
        <v>0.51222199486461562</v>
      </c>
      <c r="D16" s="520"/>
      <c r="E16" s="519">
        <f>E15/E10</f>
        <v>0.65024898042920809</v>
      </c>
      <c r="F16" s="519">
        <f>F15/F10</f>
        <v>0.58530883053832028</v>
      </c>
      <c r="G16" s="519">
        <f>G15/G10</f>
        <v>0.61314262627239269</v>
      </c>
      <c r="H16" s="517">
        <f>H15/H10</f>
        <v>0.59203253057792904</v>
      </c>
      <c r="I16" s="132"/>
      <c r="J16" s="124"/>
    </row>
    <row r="17" spans="1:9" ht="20.100000000000001" customHeight="1">
      <c r="B17" s="127"/>
      <c r="C17" s="127"/>
      <c r="H17" s="132"/>
      <c r="I17" s="132"/>
    </row>
    <row r="18" spans="1:9" ht="20.100000000000001" customHeight="1">
      <c r="A18" s="526" t="s">
        <v>117</v>
      </c>
      <c r="B18" s="1124" t="s">
        <v>364</v>
      </c>
      <c r="C18" s="1124"/>
    </row>
    <row r="19" spans="1:9">
      <c r="A19" s="523"/>
      <c r="B19" s="343" t="s">
        <v>358</v>
      </c>
      <c r="C19" s="344" t="s">
        <v>359</v>
      </c>
    </row>
    <row r="20" spans="1:9">
      <c r="A20" s="524"/>
      <c r="B20" s="345" t="s">
        <v>439</v>
      </c>
      <c r="C20" s="346">
        <f>C16</f>
        <v>0.51222199486461562</v>
      </c>
    </row>
    <row r="21" spans="1:9">
      <c r="A21" s="524"/>
      <c r="B21" s="345"/>
      <c r="C21" s="347"/>
    </row>
    <row r="22" spans="1:9">
      <c r="A22" s="524">
        <v>1</v>
      </c>
      <c r="B22" s="345" t="s">
        <v>360</v>
      </c>
      <c r="C22" s="348">
        <f>E16</f>
        <v>0.65024898042920809</v>
      </c>
    </row>
    <row r="23" spans="1:9">
      <c r="A23" s="524">
        <v>2</v>
      </c>
      <c r="B23" s="345" t="s">
        <v>361</v>
      </c>
      <c r="C23" s="348">
        <f>F16</f>
        <v>0.58530883053832028</v>
      </c>
    </row>
    <row r="24" spans="1:9">
      <c r="A24" s="524">
        <v>3</v>
      </c>
      <c r="B24" s="345" t="s">
        <v>362</v>
      </c>
      <c r="C24" s="348">
        <f>G16</f>
        <v>0.61314262627239269</v>
      </c>
    </row>
    <row r="25" spans="1:9">
      <c r="A25" s="525">
        <v>4</v>
      </c>
      <c r="B25" s="349" t="s">
        <v>363</v>
      </c>
      <c r="C25" s="350">
        <f>H16</f>
        <v>0.59203253057792904</v>
      </c>
    </row>
    <row r="27" spans="1:9" ht="40.5" customHeight="1">
      <c r="B27" s="1125" t="s">
        <v>415</v>
      </c>
      <c r="C27" s="1125"/>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C35-FAA9-4020-A700-082EEC6A60A9}">
  <sheetPr codeName="Sheet47"/>
  <dimension ref="A1:K17"/>
  <sheetViews>
    <sheetView showGridLines="0" workbookViewId="0">
      <selection activeCell="F9" sqref="F9"/>
    </sheetView>
  </sheetViews>
  <sheetFormatPr defaultRowHeight="15"/>
  <cols>
    <col min="1" max="1" width="21" bestFit="1" customWidth="1"/>
    <col min="2" max="11" width="13.140625" customWidth="1"/>
  </cols>
  <sheetData>
    <row r="1" spans="1:11">
      <c r="A1" s="1105" t="s">
        <v>450</v>
      </c>
      <c r="B1" s="1106"/>
      <c r="C1" s="1106"/>
      <c r="D1" s="1106"/>
      <c r="E1" s="1106"/>
      <c r="F1" s="1106"/>
      <c r="G1" s="1106"/>
      <c r="H1" s="1106"/>
      <c r="I1" s="1106"/>
      <c r="J1" s="1106"/>
      <c r="K1" s="1107"/>
    </row>
    <row r="2" spans="1:11">
      <c r="A2" s="505" t="s">
        <v>257</v>
      </c>
      <c r="B2" s="506">
        <v>0.7</v>
      </c>
      <c r="C2" s="506">
        <v>0.9</v>
      </c>
      <c r="D2" s="506">
        <v>1</v>
      </c>
      <c r="E2" s="506">
        <v>1</v>
      </c>
      <c r="F2" s="506">
        <v>1</v>
      </c>
      <c r="G2" s="506">
        <v>1</v>
      </c>
      <c r="H2" s="506">
        <v>1</v>
      </c>
      <c r="I2" s="506">
        <v>1</v>
      </c>
      <c r="J2" s="506">
        <v>1</v>
      </c>
      <c r="K2" s="507">
        <v>1</v>
      </c>
    </row>
    <row r="3" spans="1:11">
      <c r="A3" s="1108" t="s">
        <v>258</v>
      </c>
      <c r="B3" s="1109"/>
      <c r="C3" s="1109"/>
      <c r="D3" s="1109"/>
      <c r="E3" s="1109"/>
      <c r="F3" s="1109"/>
      <c r="G3" s="1109"/>
      <c r="H3" s="1109"/>
      <c r="I3" s="1109"/>
      <c r="J3" s="1109"/>
      <c r="K3" s="1110"/>
    </row>
    <row r="4" spans="1:11">
      <c r="A4" s="505"/>
      <c r="B4" s="134" t="s">
        <v>259</v>
      </c>
      <c r="C4" s="134" t="s">
        <v>260</v>
      </c>
      <c r="D4" s="134" t="s">
        <v>261</v>
      </c>
      <c r="E4" s="134" t="s">
        <v>262</v>
      </c>
      <c r="F4" s="134" t="s">
        <v>263</v>
      </c>
      <c r="G4" s="134" t="s">
        <v>264</v>
      </c>
      <c r="H4" s="134" t="s">
        <v>265</v>
      </c>
      <c r="I4" s="134" t="s">
        <v>266</v>
      </c>
      <c r="J4" s="134" t="s">
        <v>267</v>
      </c>
      <c r="K4" s="508" t="s">
        <v>268</v>
      </c>
    </row>
    <row r="5" spans="1:11">
      <c r="A5" s="505" t="s">
        <v>298</v>
      </c>
      <c r="B5" s="146">
        <f>'Cashflow - PVC Phenol Propane'!H13</f>
        <v>4462.0699498387594</v>
      </c>
      <c r="C5" s="146">
        <f>'Cashflow - PVC Phenol Propane'!I13</f>
        <v>5683.2465087559467</v>
      </c>
      <c r="D5" s="146">
        <f>'Cashflow - PVC Phenol Propane'!J13</f>
        <v>6387.4183718636559</v>
      </c>
      <c r="E5" s="146">
        <f>'Cashflow - PVC Phenol Propane'!K13</f>
        <v>6745.1065192482711</v>
      </c>
      <c r="F5" s="146">
        <f>'Cashflow - PVC Phenol Propane'!L13</f>
        <v>7122.957578077182</v>
      </c>
      <c r="G5" s="146">
        <f>'Cashflow - PVC Phenol Propane'!M13</f>
        <v>7522.1143273586204</v>
      </c>
      <c r="H5" s="146">
        <f>'Cashflow - PVC Phenol Propane'!N13</f>
        <v>7943.7846029611173</v>
      </c>
      <c r="I5" s="146">
        <f>'Cashflow - PVC Phenol Propane'!O13</f>
        <v>8389.2450144748836</v>
      </c>
      <c r="J5" s="146">
        <f>'Cashflow - PVC Phenol Propane'!P13</f>
        <v>8859.8448750371481</v>
      </c>
      <c r="K5" s="527">
        <f>'Cashflow - PVC Phenol Propane'!Q13</f>
        <v>9357.0103563516841</v>
      </c>
    </row>
    <row r="6" spans="1:11">
      <c r="A6" s="505" t="s">
        <v>441</v>
      </c>
      <c r="B6" s="146">
        <f>SUM(B7:B12)</f>
        <v>2483.5123808314702</v>
      </c>
      <c r="C6" s="146">
        <f t="shared" ref="C6:K6" si="0">SUM(C7:C12)</f>
        <v>2985.7542417378736</v>
      </c>
      <c r="D6" s="146">
        <f t="shared" si="0"/>
        <v>3253.3278688000814</v>
      </c>
      <c r="E6" s="146">
        <f t="shared" si="0"/>
        <v>3434.1093380814168</v>
      </c>
      <c r="F6" s="146">
        <f t="shared" si="0"/>
        <v>3622.5041583955144</v>
      </c>
      <c r="G6" s="146">
        <f t="shared" si="0"/>
        <v>3822.5443547753398</v>
      </c>
      <c r="H6" s="146">
        <f t="shared" si="0"/>
        <v>4033.4180161611498</v>
      </c>
      <c r="I6" s="146">
        <f t="shared" si="0"/>
        <v>4256.4916217139335</v>
      </c>
      <c r="J6" s="146">
        <f t="shared" si="0"/>
        <v>4493.829916234703</v>
      </c>
      <c r="K6" s="527">
        <f t="shared" si="0"/>
        <v>4738.6681008380674</v>
      </c>
    </row>
    <row r="7" spans="1:11">
      <c r="A7" s="52" t="s">
        <v>28</v>
      </c>
      <c r="B7" s="146">
        <f>'Cashflow - PVC Phenol Propane'!H20</f>
        <v>1748.6078524609516</v>
      </c>
      <c r="C7" s="146">
        <f>'Cashflow - PVC Phenol Propane'!I20</f>
        <v>2155.6917227446902</v>
      </c>
      <c r="D7" s="146">
        <f>'Cashflow - PVC Phenol Propane'!J20</f>
        <v>2368.8825241386103</v>
      </c>
      <c r="E7" s="146">
        <f>'Cashflow - PVC Phenol Propane'!K20</f>
        <v>2507.6298695010551</v>
      </c>
      <c r="F7" s="146">
        <f>'Cashflow - PVC Phenol Propane'!L20</f>
        <v>2652.0147899086583</v>
      </c>
      <c r="G7" s="146">
        <f>'Cashflow - PVC Phenol Propane'!M20</f>
        <v>2806.0316806140627</v>
      </c>
      <c r="H7" s="146">
        <f>'Cashflow - PVC Phenol Propane'!N20</f>
        <v>2968.6722547547934</v>
      </c>
      <c r="I7" s="146">
        <f>'Cashflow - PVC Phenol Propane'!O20</f>
        <v>3141.1953656688565</v>
      </c>
      <c r="J7" s="146">
        <f>'Cashflow - PVC Phenol Propane'!P20</f>
        <v>3325.5528061942059</v>
      </c>
      <c r="K7" s="527">
        <f>'Cashflow - PVC Phenol Propane'!Q20</f>
        <v>3514.8612311688603</v>
      </c>
    </row>
    <row r="8" spans="1:11">
      <c r="A8" s="52" t="s">
        <v>325</v>
      </c>
      <c r="B8" s="146">
        <f>'Cashflow - PVC Phenol Propane'!H21</f>
        <v>92.910999999999987</v>
      </c>
      <c r="C8" s="146">
        <f>'Cashflow - PVC Phenol Propane'!I21</f>
        <v>126.76746975749997</v>
      </c>
      <c r="D8" s="146">
        <f>'Cashflow - PVC Phenol Propane'!J21</f>
        <v>149.50201821018209</v>
      </c>
      <c r="E8" s="146">
        <f>'Cashflow - PVC Phenol Propane'!K21</f>
        <v>158.46369243876413</v>
      </c>
      <c r="F8" s="146">
        <f>'Cashflow - PVC Phenol Propane'!L21</f>
        <v>167.91288241888759</v>
      </c>
      <c r="G8" s="146">
        <f>'Cashflow - PVC Phenol Propane'!M21</f>
        <v>177.8202462202492</v>
      </c>
      <c r="H8" s="146">
        <f>'Cashflow - PVC Phenol Propane'!N21</f>
        <v>188.31217420798251</v>
      </c>
      <c r="I8" s="146">
        <f>'Cashflow - PVC Phenol Propane'!O21</f>
        <v>199.42315742277611</v>
      </c>
      <c r="J8" s="146">
        <f>'Cashflow - PVC Phenol Propane'!P21</f>
        <v>211.18972198019213</v>
      </c>
      <c r="K8" s="527">
        <f>'Cashflow - PVC Phenol Propane'!Q21</f>
        <v>223.65054914618941</v>
      </c>
    </row>
    <row r="9" spans="1:11">
      <c r="A9" s="52" t="s">
        <v>29</v>
      </c>
      <c r="B9" s="146">
        <f>'Cashflow - PVC Phenol Propane'!H22</f>
        <v>53.82</v>
      </c>
      <c r="C9" s="146">
        <f>'Cashflow - PVC Phenol Propane'!I22</f>
        <v>56.241899999999994</v>
      </c>
      <c r="D9" s="146">
        <f>'Cashflow - PVC Phenol Propane'!J22</f>
        <v>58.772785499999991</v>
      </c>
      <c r="E9" s="146">
        <f>'Cashflow - PVC Phenol Propane'!K22</f>
        <v>61.417560847499992</v>
      </c>
      <c r="F9" s="146">
        <f>'Cashflow - PVC Phenol Propane'!L22</f>
        <v>64.181351085637473</v>
      </c>
      <c r="G9" s="146">
        <f>'Cashflow - PVC Phenol Propane'!M22</f>
        <v>67.069511884491163</v>
      </c>
      <c r="H9" s="146">
        <f>'Cashflow - PVC Phenol Propane'!N22</f>
        <v>70.087639919293238</v>
      </c>
      <c r="I9" s="146">
        <f>'Cashflow - PVC Phenol Propane'!O22</f>
        <v>73.241583715661449</v>
      </c>
      <c r="J9" s="146">
        <f>'Cashflow - PVC Phenol Propane'!P22</f>
        <v>76.53745498286618</v>
      </c>
      <c r="K9" s="527">
        <f>'Cashflow - PVC Phenol Propane'!Q22</f>
        <v>79.981640457095153</v>
      </c>
    </row>
    <row r="10" spans="1:11">
      <c r="A10" s="52" t="s">
        <v>17</v>
      </c>
      <c r="B10" s="146">
        <f>'Cashflow - PVC Phenol Propane'!H23</f>
        <v>336.36743734740003</v>
      </c>
      <c r="C10" s="146">
        <f>'Cashflow - PVC Phenol Propane'!I23</f>
        <v>372.30730225336998</v>
      </c>
      <c r="D10" s="146">
        <f>'Cashflow - PVC Phenol Propane'!J23</f>
        <v>389.06113085477159</v>
      </c>
      <c r="E10" s="146">
        <f>'Cashflow - PVC Phenol Propane'!K23</f>
        <v>406.56888174323637</v>
      </c>
      <c r="F10" s="146">
        <f>'Cashflow - PVC Phenol Propane'!L23</f>
        <v>424.86448142168183</v>
      </c>
      <c r="G10" s="146">
        <f>'Cashflow - PVC Phenol Propane'!M23</f>
        <v>443.98338308565752</v>
      </c>
      <c r="H10" s="146">
        <f>'Cashflow - PVC Phenol Propane'!N23</f>
        <v>463.96263532451201</v>
      </c>
      <c r="I10" s="146">
        <f>'Cashflow - PVC Phenol Propane'!O23</f>
        <v>484.84095391411512</v>
      </c>
      <c r="J10" s="146">
        <f>'Cashflow - PVC Phenol Propane'!P23</f>
        <v>506.65879684025015</v>
      </c>
      <c r="K10" s="527">
        <f>'Cashflow - PVC Phenol Propane'!Q23</f>
        <v>529.45844269806139</v>
      </c>
    </row>
    <row r="11" spans="1:11">
      <c r="A11" s="52" t="s">
        <v>20</v>
      </c>
      <c r="B11" s="146">
        <f>'Cashflow - PVC Phenol Propane'!H24</f>
        <v>96.573698443403998</v>
      </c>
      <c r="C11" s="146">
        <f>'Cashflow - PVC Phenol Propane'!I24</f>
        <v>104.11074991554466</v>
      </c>
      <c r="D11" s="146">
        <f>'Cashflow - PVC Phenol Propane'!J24</f>
        <v>108.79573366174417</v>
      </c>
      <c r="E11" s="146">
        <f>'Cashflow - PVC Phenol Propane'!K24</f>
        <v>113.69154167652266</v>
      </c>
      <c r="F11" s="146">
        <f>'Cashflow - PVC Phenol Propane'!L24</f>
        <v>118.80766105196614</v>
      </c>
      <c r="G11" s="146">
        <f>'Cashflow - PVC Phenol Propane'!M24</f>
        <v>124.15400579930463</v>
      </c>
      <c r="H11" s="146">
        <f>'Cashflow - PVC Phenol Propane'!N24</f>
        <v>129.7409360602733</v>
      </c>
      <c r="I11" s="146">
        <f>'Cashflow - PVC Phenol Propane'!O24</f>
        <v>135.5792781829856</v>
      </c>
      <c r="J11" s="146">
        <f>'Cashflow - PVC Phenol Propane'!P24</f>
        <v>141.68034570121992</v>
      </c>
      <c r="K11" s="527">
        <f>'Cashflow - PVC Phenol Propane'!Q24</f>
        <v>148.05596125777478</v>
      </c>
    </row>
    <row r="12" spans="1:11">
      <c r="A12" s="52" t="s">
        <v>21</v>
      </c>
      <c r="B12" s="146">
        <f>'Cashflow - PVC Phenol Propane'!H25</f>
        <v>155.23239257971522</v>
      </c>
      <c r="C12" s="146">
        <f>'Cashflow - PVC Phenol Propane'!I25</f>
        <v>170.63509706676908</v>
      </c>
      <c r="D12" s="146">
        <f>'Cashflow - PVC Phenol Propane'!J25</f>
        <v>178.31367643477367</v>
      </c>
      <c r="E12" s="146">
        <f>'Cashflow - PVC Phenol Propane'!K25</f>
        <v>186.33779187433851</v>
      </c>
      <c r="F12" s="146">
        <f>'Cashflow - PVC Phenol Propane'!L25</f>
        <v>194.72299250868366</v>
      </c>
      <c r="G12" s="146">
        <f>'Cashflow - PVC Phenol Propane'!M25</f>
        <v>203.48552717157443</v>
      </c>
      <c r="H12" s="146">
        <f>'Cashflow - PVC Phenol Propane'!N25</f>
        <v>212.64237589429524</v>
      </c>
      <c r="I12" s="146">
        <f>'Cashflow - PVC Phenol Propane'!O25</f>
        <v>222.21128280953855</v>
      </c>
      <c r="J12" s="146">
        <f>'Cashflow - PVC Phenol Propane'!P25</f>
        <v>232.2107905359677</v>
      </c>
      <c r="K12" s="527">
        <f>'Cashflow - PVC Phenol Propane'!Q25</f>
        <v>242.66027611008622</v>
      </c>
    </row>
    <row r="13" spans="1:11">
      <c r="A13" s="505" t="s">
        <v>442</v>
      </c>
      <c r="B13" s="146">
        <f t="shared" ref="B13:K13" si="1">B5-B6</f>
        <v>1978.5575690072892</v>
      </c>
      <c r="C13" s="146">
        <f t="shared" si="1"/>
        <v>2697.4922670180731</v>
      </c>
      <c r="D13" s="146">
        <f t="shared" si="1"/>
        <v>3134.0905030635745</v>
      </c>
      <c r="E13" s="146">
        <f t="shared" si="1"/>
        <v>3310.9971811668543</v>
      </c>
      <c r="F13" s="146">
        <f t="shared" si="1"/>
        <v>3500.4534196816676</v>
      </c>
      <c r="G13" s="146">
        <f t="shared" si="1"/>
        <v>3699.5699725832806</v>
      </c>
      <c r="H13" s="146">
        <f t="shared" si="1"/>
        <v>3910.3665867999675</v>
      </c>
      <c r="I13" s="146">
        <f t="shared" si="1"/>
        <v>4132.7533927609502</v>
      </c>
      <c r="J13" s="146">
        <f t="shared" si="1"/>
        <v>4366.0149588024451</v>
      </c>
      <c r="K13" s="527">
        <f t="shared" si="1"/>
        <v>4618.3422555136167</v>
      </c>
    </row>
    <row r="14" spans="1:11">
      <c r="A14" s="505" t="s">
        <v>448</v>
      </c>
      <c r="B14" s="146">
        <f>-'Cashflow - PVC Phenol Propane'!$G$12/10</f>
        <v>869.41247678080003</v>
      </c>
      <c r="C14" s="146">
        <f>-'Cashflow - PVC Phenol Propane'!$G$12/10</f>
        <v>869.41247678080003</v>
      </c>
      <c r="D14" s="146">
        <f>-'Cashflow - PVC Phenol Propane'!$G$12/10</f>
        <v>869.41247678080003</v>
      </c>
      <c r="E14" s="146">
        <f>-'Cashflow - PVC Phenol Propane'!$G$12/10</f>
        <v>869.41247678080003</v>
      </c>
      <c r="F14" s="146">
        <f>-'Cashflow - PVC Phenol Propane'!$G$12/10</f>
        <v>869.41247678080003</v>
      </c>
      <c r="G14" s="146">
        <f>-'Cashflow - PVC Phenol Propane'!$G$12/10</f>
        <v>869.41247678080003</v>
      </c>
      <c r="H14" s="146">
        <f>-'Cashflow - PVC Phenol Propane'!$G$12/10</f>
        <v>869.41247678080003</v>
      </c>
      <c r="I14" s="146">
        <f>-'Cashflow - PVC Phenol Propane'!$G$12/10</f>
        <v>869.41247678080003</v>
      </c>
      <c r="J14" s="146">
        <f>-'Cashflow - PVC Phenol Propane'!$G$12/10</f>
        <v>869.41247678080003</v>
      </c>
      <c r="K14" s="527">
        <f>-'Cashflow - PVC Phenol Propane'!$G$12/10</f>
        <v>869.41247678080003</v>
      </c>
    </row>
    <row r="15" spans="1:11">
      <c r="A15" s="505" t="s">
        <v>449</v>
      </c>
      <c r="B15" s="146">
        <f>B13-B14</f>
        <v>1109.1450922264892</v>
      </c>
      <c r="C15" s="146">
        <f t="shared" ref="C15:K15" si="2">C13-C14</f>
        <v>1828.0797902372731</v>
      </c>
      <c r="D15" s="146">
        <f t="shared" si="2"/>
        <v>2264.6780262827742</v>
      </c>
      <c r="E15" s="146">
        <f t="shared" si="2"/>
        <v>2441.584704386054</v>
      </c>
      <c r="F15" s="146">
        <f t="shared" si="2"/>
        <v>2631.0409429008678</v>
      </c>
      <c r="G15" s="146">
        <f t="shared" si="2"/>
        <v>2830.1574958024803</v>
      </c>
      <c r="H15" s="146">
        <f t="shared" si="2"/>
        <v>3040.9541100191673</v>
      </c>
      <c r="I15" s="146">
        <f t="shared" si="2"/>
        <v>3263.3409159801504</v>
      </c>
      <c r="J15" s="146">
        <f t="shared" si="2"/>
        <v>3496.6024820216453</v>
      </c>
      <c r="K15" s="527">
        <f t="shared" si="2"/>
        <v>3748.9297787328169</v>
      </c>
    </row>
    <row r="16" spans="1:11">
      <c r="A16" s="505" t="s">
        <v>269</v>
      </c>
      <c r="B16" s="146">
        <f>B15*0.2517</f>
        <v>279.17181971340727</v>
      </c>
      <c r="C16" s="146">
        <f t="shared" ref="C16:K16" si="3">C15*0.2517</f>
        <v>460.12768320272158</v>
      </c>
      <c r="D16" s="146">
        <f t="shared" si="3"/>
        <v>570.01945921537424</v>
      </c>
      <c r="E16" s="146">
        <f t="shared" si="3"/>
        <v>614.54687009396969</v>
      </c>
      <c r="F16" s="146">
        <f t="shared" si="3"/>
        <v>662.23300532814835</v>
      </c>
      <c r="G16" s="146">
        <f t="shared" si="3"/>
        <v>712.35064169348425</v>
      </c>
      <c r="H16" s="146">
        <f t="shared" si="3"/>
        <v>765.40814949182436</v>
      </c>
      <c r="I16" s="146">
        <f t="shared" si="3"/>
        <v>821.38290855220373</v>
      </c>
      <c r="J16" s="146">
        <f t="shared" si="3"/>
        <v>880.09484472484803</v>
      </c>
      <c r="K16" s="527">
        <f t="shared" si="3"/>
        <v>943.60562530704988</v>
      </c>
    </row>
    <row r="17" spans="1:11">
      <c r="A17" s="509" t="s">
        <v>270</v>
      </c>
      <c r="B17" s="528">
        <f>B15-B16</f>
        <v>829.97327251308184</v>
      </c>
      <c r="C17" s="528">
        <f t="shared" ref="C17:K17" si="4">C15-C16</f>
        <v>1367.9521070345515</v>
      </c>
      <c r="D17" s="528">
        <f t="shared" si="4"/>
        <v>1694.6585670673999</v>
      </c>
      <c r="E17" s="528">
        <f t="shared" si="4"/>
        <v>1827.0378342920844</v>
      </c>
      <c r="F17" s="528">
        <f t="shared" si="4"/>
        <v>1968.8079375727193</v>
      </c>
      <c r="G17" s="528">
        <f t="shared" si="4"/>
        <v>2117.806854108996</v>
      </c>
      <c r="H17" s="528">
        <f t="shared" si="4"/>
        <v>2275.5459605273427</v>
      </c>
      <c r="I17" s="528">
        <f t="shared" si="4"/>
        <v>2441.9580074279465</v>
      </c>
      <c r="J17" s="528">
        <f t="shared" si="4"/>
        <v>2616.5076372967974</v>
      </c>
      <c r="K17" s="529">
        <f t="shared" si="4"/>
        <v>2805.3241534257668</v>
      </c>
    </row>
  </sheetData>
  <mergeCells count="2">
    <mergeCell ref="A1:K1"/>
    <mergeCell ref="A3:K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E197-A4C7-4B53-AEB5-5D908ECF89F4}">
  <sheetPr codeName="Sheet48"/>
  <dimension ref="A1:K17"/>
  <sheetViews>
    <sheetView showGridLines="0" workbookViewId="0">
      <selection activeCell="F19" sqref="F19"/>
    </sheetView>
  </sheetViews>
  <sheetFormatPr defaultRowHeight="15"/>
  <cols>
    <col min="1" max="1" width="21" bestFit="1" customWidth="1"/>
    <col min="2" max="11" width="13.140625" customWidth="1"/>
  </cols>
  <sheetData>
    <row r="1" spans="1:11">
      <c r="A1" s="1105" t="s">
        <v>450</v>
      </c>
      <c r="B1" s="1106"/>
      <c r="C1" s="1106"/>
      <c r="D1" s="1106"/>
      <c r="E1" s="1106"/>
      <c r="F1" s="1106"/>
      <c r="G1" s="1106"/>
      <c r="H1" s="1106"/>
      <c r="I1" s="1106"/>
      <c r="J1" s="1106"/>
      <c r="K1" s="1107"/>
    </row>
    <row r="2" spans="1:11">
      <c r="A2" s="505" t="s">
        <v>257</v>
      </c>
      <c r="B2" s="506">
        <v>0.7</v>
      </c>
      <c r="C2" s="506">
        <v>0.9</v>
      </c>
      <c r="D2" s="506">
        <v>1</v>
      </c>
      <c r="E2" s="506">
        <v>1</v>
      </c>
      <c r="F2" s="506">
        <v>1</v>
      </c>
      <c r="G2" s="506">
        <v>1</v>
      </c>
      <c r="H2" s="506">
        <v>1</v>
      </c>
      <c r="I2" s="506">
        <v>1</v>
      </c>
      <c r="J2" s="506">
        <v>1</v>
      </c>
      <c r="K2" s="507">
        <v>1</v>
      </c>
    </row>
    <row r="3" spans="1:11">
      <c r="A3" s="1108" t="s">
        <v>258</v>
      </c>
      <c r="B3" s="1109"/>
      <c r="C3" s="1109"/>
      <c r="D3" s="1109"/>
      <c r="E3" s="1109"/>
      <c r="F3" s="1109"/>
      <c r="G3" s="1109"/>
      <c r="H3" s="1109"/>
      <c r="I3" s="1109"/>
      <c r="J3" s="1109"/>
      <c r="K3" s="1110"/>
    </row>
    <row r="4" spans="1:11">
      <c r="A4" s="505"/>
      <c r="B4" s="134" t="s">
        <v>259</v>
      </c>
      <c r="C4" s="134" t="s">
        <v>260</v>
      </c>
      <c r="D4" s="134" t="s">
        <v>261</v>
      </c>
      <c r="E4" s="134" t="s">
        <v>262</v>
      </c>
      <c r="F4" s="134" t="s">
        <v>263</v>
      </c>
      <c r="G4" s="134" t="s">
        <v>264</v>
      </c>
      <c r="H4" s="134" t="s">
        <v>265</v>
      </c>
      <c r="I4" s="134" t="s">
        <v>266</v>
      </c>
      <c r="J4" s="134" t="s">
        <v>267</v>
      </c>
      <c r="K4" s="508" t="s">
        <v>268</v>
      </c>
    </row>
    <row r="5" spans="1:11">
      <c r="A5" s="505" t="s">
        <v>298</v>
      </c>
      <c r="B5" s="146">
        <f>'Cashflow - PVC Phenol Propane'!H13</f>
        <v>4462.0699498387594</v>
      </c>
      <c r="C5" s="146">
        <f>'Cashflow - PVC Phenol Propane'!I13</f>
        <v>5683.2465087559467</v>
      </c>
      <c r="D5" s="146">
        <f>'Cashflow - PVC Phenol Propane'!J13</f>
        <v>6387.4183718636559</v>
      </c>
      <c r="E5" s="146">
        <f>'Cashflow - PVC Phenol Propane'!K13</f>
        <v>6745.1065192482711</v>
      </c>
      <c r="F5" s="146">
        <f>'Cashflow - PVC Phenol Propane'!L13</f>
        <v>7122.957578077182</v>
      </c>
      <c r="G5" s="146">
        <f>'Cashflow - PVC Phenol Propane'!M13</f>
        <v>7522.1143273586204</v>
      </c>
      <c r="H5" s="146">
        <f>'Cashflow - PVC Phenol Propane'!N13</f>
        <v>7943.7846029611173</v>
      </c>
      <c r="I5" s="146">
        <f>'Cashflow - PVC Phenol Propane'!O13</f>
        <v>8389.2450144748836</v>
      </c>
      <c r="J5" s="146">
        <f>'Cashflow - PVC Phenol Propane'!P13</f>
        <v>8859.8448750371481</v>
      </c>
      <c r="K5" s="527">
        <f>'Cashflow - PVC Phenol Propane'!Q13</f>
        <v>9357.0103563516841</v>
      </c>
    </row>
    <row r="6" spans="1:11">
      <c r="A6" s="505" t="s">
        <v>441</v>
      </c>
      <c r="B6" s="146">
        <f>SUM(B7:B12)</f>
        <v>2483.5123808314702</v>
      </c>
      <c r="C6" s="146">
        <f t="shared" ref="C6:K6" si="0">SUM(C7:C12)</f>
        <v>2985.7542417378736</v>
      </c>
      <c r="D6" s="146">
        <f t="shared" si="0"/>
        <v>3253.3278688000814</v>
      </c>
      <c r="E6" s="146">
        <f t="shared" si="0"/>
        <v>3434.1093380814168</v>
      </c>
      <c r="F6" s="146">
        <f t="shared" si="0"/>
        <v>3622.5041583955144</v>
      </c>
      <c r="G6" s="146">
        <f t="shared" si="0"/>
        <v>3822.5443547753398</v>
      </c>
      <c r="H6" s="146">
        <f t="shared" si="0"/>
        <v>4033.4180161611498</v>
      </c>
      <c r="I6" s="146">
        <f t="shared" si="0"/>
        <v>4256.4916217139335</v>
      </c>
      <c r="J6" s="146">
        <f t="shared" si="0"/>
        <v>4493.829916234703</v>
      </c>
      <c r="K6" s="527">
        <f t="shared" si="0"/>
        <v>4738.6681008380674</v>
      </c>
    </row>
    <row r="7" spans="1:11">
      <c r="A7" s="52" t="s">
        <v>28</v>
      </c>
      <c r="B7" s="146">
        <f>'Cashflow - PVC Phenol Propane'!H20</f>
        <v>1748.6078524609516</v>
      </c>
      <c r="C7" s="146">
        <f>'Cashflow - PVC Phenol Propane'!I20</f>
        <v>2155.6917227446902</v>
      </c>
      <c r="D7" s="146">
        <f>'Cashflow - PVC Phenol Propane'!J20</f>
        <v>2368.8825241386103</v>
      </c>
      <c r="E7" s="146">
        <f>'Cashflow - PVC Phenol Propane'!K20</f>
        <v>2507.6298695010551</v>
      </c>
      <c r="F7" s="146">
        <f>'Cashflow - PVC Phenol Propane'!L20</f>
        <v>2652.0147899086583</v>
      </c>
      <c r="G7" s="146">
        <f>'Cashflow - PVC Phenol Propane'!M20</f>
        <v>2806.0316806140627</v>
      </c>
      <c r="H7" s="146">
        <f>'Cashflow - PVC Phenol Propane'!N20</f>
        <v>2968.6722547547934</v>
      </c>
      <c r="I7" s="146">
        <f>'Cashflow - PVC Phenol Propane'!O20</f>
        <v>3141.1953656688565</v>
      </c>
      <c r="J7" s="146">
        <f>'Cashflow - PVC Phenol Propane'!P20</f>
        <v>3325.5528061942059</v>
      </c>
      <c r="K7" s="527">
        <f>'Cashflow - PVC Phenol Propane'!Q20</f>
        <v>3514.8612311688603</v>
      </c>
    </row>
    <row r="8" spans="1:11">
      <c r="A8" s="52" t="s">
        <v>325</v>
      </c>
      <c r="B8" s="146">
        <f>'Cashflow - PVC Phenol Propane'!H21</f>
        <v>92.910999999999987</v>
      </c>
      <c r="C8" s="146">
        <f>'Cashflow - PVC Phenol Propane'!I21</f>
        <v>126.76746975749997</v>
      </c>
      <c r="D8" s="146">
        <f>'Cashflow - PVC Phenol Propane'!J21</f>
        <v>149.50201821018209</v>
      </c>
      <c r="E8" s="146">
        <f>'Cashflow - PVC Phenol Propane'!K21</f>
        <v>158.46369243876413</v>
      </c>
      <c r="F8" s="146">
        <f>'Cashflow - PVC Phenol Propane'!L21</f>
        <v>167.91288241888759</v>
      </c>
      <c r="G8" s="146">
        <f>'Cashflow - PVC Phenol Propane'!M21</f>
        <v>177.8202462202492</v>
      </c>
      <c r="H8" s="146">
        <f>'Cashflow - PVC Phenol Propane'!N21</f>
        <v>188.31217420798251</v>
      </c>
      <c r="I8" s="146">
        <f>'Cashflow - PVC Phenol Propane'!O21</f>
        <v>199.42315742277611</v>
      </c>
      <c r="J8" s="146">
        <f>'Cashflow - PVC Phenol Propane'!P21</f>
        <v>211.18972198019213</v>
      </c>
      <c r="K8" s="527">
        <f>'Cashflow - PVC Phenol Propane'!Q21</f>
        <v>223.65054914618941</v>
      </c>
    </row>
    <row r="9" spans="1:11">
      <c r="A9" s="52" t="s">
        <v>29</v>
      </c>
      <c r="B9" s="146">
        <f>'Cashflow - PVC Phenol Propane'!H22</f>
        <v>53.82</v>
      </c>
      <c r="C9" s="146">
        <f>'Cashflow - PVC Phenol Propane'!I22</f>
        <v>56.241899999999994</v>
      </c>
      <c r="D9" s="146">
        <f>'Cashflow - PVC Phenol Propane'!J22</f>
        <v>58.772785499999991</v>
      </c>
      <c r="E9" s="146">
        <f>'Cashflow - PVC Phenol Propane'!K22</f>
        <v>61.417560847499992</v>
      </c>
      <c r="F9" s="146">
        <f>'Cashflow - PVC Phenol Propane'!L22</f>
        <v>64.181351085637473</v>
      </c>
      <c r="G9" s="146">
        <f>'Cashflow - PVC Phenol Propane'!M22</f>
        <v>67.069511884491163</v>
      </c>
      <c r="H9" s="146">
        <f>'Cashflow - PVC Phenol Propane'!N22</f>
        <v>70.087639919293238</v>
      </c>
      <c r="I9" s="146">
        <f>'Cashflow - PVC Phenol Propane'!O22</f>
        <v>73.241583715661449</v>
      </c>
      <c r="J9" s="146">
        <f>'Cashflow - PVC Phenol Propane'!P22</f>
        <v>76.53745498286618</v>
      </c>
      <c r="K9" s="527">
        <f>'Cashflow - PVC Phenol Propane'!Q22</f>
        <v>79.981640457095153</v>
      </c>
    </row>
    <row r="10" spans="1:11">
      <c r="A10" s="52" t="s">
        <v>17</v>
      </c>
      <c r="B10" s="146">
        <f>'Cashflow - PVC Phenol Propane'!H23</f>
        <v>336.36743734740003</v>
      </c>
      <c r="C10" s="146">
        <f>'Cashflow - PVC Phenol Propane'!I23</f>
        <v>372.30730225336998</v>
      </c>
      <c r="D10" s="146">
        <f>'Cashflow - PVC Phenol Propane'!J23</f>
        <v>389.06113085477159</v>
      </c>
      <c r="E10" s="146">
        <f>'Cashflow - PVC Phenol Propane'!K23</f>
        <v>406.56888174323637</v>
      </c>
      <c r="F10" s="146">
        <f>'Cashflow - PVC Phenol Propane'!L23</f>
        <v>424.86448142168183</v>
      </c>
      <c r="G10" s="146">
        <f>'Cashflow - PVC Phenol Propane'!M23</f>
        <v>443.98338308565752</v>
      </c>
      <c r="H10" s="146">
        <f>'Cashflow - PVC Phenol Propane'!N23</f>
        <v>463.96263532451201</v>
      </c>
      <c r="I10" s="146">
        <f>'Cashflow - PVC Phenol Propane'!O23</f>
        <v>484.84095391411512</v>
      </c>
      <c r="J10" s="146">
        <f>'Cashflow - PVC Phenol Propane'!P23</f>
        <v>506.65879684025015</v>
      </c>
      <c r="K10" s="527">
        <f>'Cashflow - PVC Phenol Propane'!Q23</f>
        <v>529.45844269806139</v>
      </c>
    </row>
    <row r="11" spans="1:11">
      <c r="A11" s="52" t="s">
        <v>20</v>
      </c>
      <c r="B11" s="146">
        <f>'Cashflow - PVC Phenol Propane'!H24</f>
        <v>96.573698443403998</v>
      </c>
      <c r="C11" s="146">
        <f>'Cashflow - PVC Phenol Propane'!I24</f>
        <v>104.11074991554466</v>
      </c>
      <c r="D11" s="146">
        <f>'Cashflow - PVC Phenol Propane'!J24</f>
        <v>108.79573366174417</v>
      </c>
      <c r="E11" s="146">
        <f>'Cashflow - PVC Phenol Propane'!K24</f>
        <v>113.69154167652266</v>
      </c>
      <c r="F11" s="146">
        <f>'Cashflow - PVC Phenol Propane'!L24</f>
        <v>118.80766105196614</v>
      </c>
      <c r="G11" s="146">
        <f>'Cashflow - PVC Phenol Propane'!M24</f>
        <v>124.15400579930463</v>
      </c>
      <c r="H11" s="146">
        <f>'Cashflow - PVC Phenol Propane'!N24</f>
        <v>129.7409360602733</v>
      </c>
      <c r="I11" s="146">
        <f>'Cashflow - PVC Phenol Propane'!O24</f>
        <v>135.5792781829856</v>
      </c>
      <c r="J11" s="146">
        <f>'Cashflow - PVC Phenol Propane'!P24</f>
        <v>141.68034570121992</v>
      </c>
      <c r="K11" s="527">
        <f>'Cashflow - PVC Phenol Propane'!Q24</f>
        <v>148.05596125777478</v>
      </c>
    </row>
    <row r="12" spans="1:11">
      <c r="A12" s="52" t="s">
        <v>21</v>
      </c>
      <c r="B12" s="146">
        <f>'Cashflow - PVC Phenol Propane'!H25</f>
        <v>155.23239257971522</v>
      </c>
      <c r="C12" s="146">
        <f>'Cashflow - PVC Phenol Propane'!I25</f>
        <v>170.63509706676908</v>
      </c>
      <c r="D12" s="146">
        <f>'Cashflow - PVC Phenol Propane'!J25</f>
        <v>178.31367643477367</v>
      </c>
      <c r="E12" s="146">
        <f>'Cashflow - PVC Phenol Propane'!K25</f>
        <v>186.33779187433851</v>
      </c>
      <c r="F12" s="146">
        <f>'Cashflow - PVC Phenol Propane'!L25</f>
        <v>194.72299250868366</v>
      </c>
      <c r="G12" s="146">
        <f>'Cashflow - PVC Phenol Propane'!M25</f>
        <v>203.48552717157443</v>
      </c>
      <c r="H12" s="146">
        <f>'Cashflow - PVC Phenol Propane'!N25</f>
        <v>212.64237589429524</v>
      </c>
      <c r="I12" s="146">
        <f>'Cashflow - PVC Phenol Propane'!O25</f>
        <v>222.21128280953855</v>
      </c>
      <c r="J12" s="146">
        <f>'Cashflow - PVC Phenol Propane'!P25</f>
        <v>232.2107905359677</v>
      </c>
      <c r="K12" s="527">
        <f>'Cashflow - PVC Phenol Propane'!Q25</f>
        <v>242.66027611008622</v>
      </c>
    </row>
    <row r="13" spans="1:11">
      <c r="A13" s="505" t="s">
        <v>442</v>
      </c>
      <c r="B13" s="146">
        <f t="shared" ref="B13:K13" si="1">B5-B6</f>
        <v>1978.5575690072892</v>
      </c>
      <c r="C13" s="146">
        <f t="shared" si="1"/>
        <v>2697.4922670180731</v>
      </c>
      <c r="D13" s="146">
        <f t="shared" si="1"/>
        <v>3134.0905030635745</v>
      </c>
      <c r="E13" s="146">
        <f t="shared" si="1"/>
        <v>3310.9971811668543</v>
      </c>
      <c r="F13" s="146">
        <f t="shared" si="1"/>
        <v>3500.4534196816676</v>
      </c>
      <c r="G13" s="146">
        <f t="shared" si="1"/>
        <v>3699.5699725832806</v>
      </c>
      <c r="H13" s="146">
        <f t="shared" si="1"/>
        <v>3910.3665867999675</v>
      </c>
      <c r="I13" s="146">
        <f t="shared" si="1"/>
        <v>4132.7533927609502</v>
      </c>
      <c r="J13" s="146">
        <f t="shared" si="1"/>
        <v>4366.0149588024451</v>
      </c>
      <c r="K13" s="527">
        <f t="shared" si="1"/>
        <v>4618.3422555136167</v>
      </c>
    </row>
    <row r="14" spans="1:11">
      <c r="A14" s="505" t="s">
        <v>448</v>
      </c>
      <c r="B14" s="146">
        <f>-'Cashflow - PVC Phenol Propane'!$G$12/10</f>
        <v>869.41247678080003</v>
      </c>
      <c r="C14" s="146">
        <f>-'Cashflow - PVC Phenol Propane'!$G$12/10</f>
        <v>869.41247678080003</v>
      </c>
      <c r="D14" s="146">
        <f>-'Cashflow - PVC Phenol Propane'!$G$12/10</f>
        <v>869.41247678080003</v>
      </c>
      <c r="E14" s="146">
        <f>-'Cashflow - PVC Phenol Propane'!$G$12/10</f>
        <v>869.41247678080003</v>
      </c>
      <c r="F14" s="146">
        <f>-'Cashflow - PVC Phenol Propane'!$G$12/10</f>
        <v>869.41247678080003</v>
      </c>
      <c r="G14" s="146">
        <f>-'Cashflow - PVC Phenol Propane'!$G$12/10</f>
        <v>869.41247678080003</v>
      </c>
      <c r="H14" s="146">
        <f>-'Cashflow - PVC Phenol Propane'!$G$12/10</f>
        <v>869.41247678080003</v>
      </c>
      <c r="I14" s="146">
        <f>-'Cashflow - PVC Phenol Propane'!$G$12/10</f>
        <v>869.41247678080003</v>
      </c>
      <c r="J14" s="146">
        <f>-'Cashflow - PVC Phenol Propane'!$G$12/10</f>
        <v>869.41247678080003</v>
      </c>
      <c r="K14" s="527">
        <f>-'Cashflow - PVC Phenol Propane'!$G$12/10</f>
        <v>869.41247678080003</v>
      </c>
    </row>
    <row r="15" spans="1:11">
      <c r="A15" s="505" t="s">
        <v>449</v>
      </c>
      <c r="B15" s="146">
        <f>B13-B14</f>
        <v>1109.1450922264892</v>
      </c>
      <c r="C15" s="146">
        <f t="shared" ref="C15:K15" si="2">C13-C14</f>
        <v>1828.0797902372731</v>
      </c>
      <c r="D15" s="146">
        <f t="shared" si="2"/>
        <v>2264.6780262827742</v>
      </c>
      <c r="E15" s="146">
        <f t="shared" si="2"/>
        <v>2441.584704386054</v>
      </c>
      <c r="F15" s="146">
        <f t="shared" si="2"/>
        <v>2631.0409429008678</v>
      </c>
      <c r="G15" s="146">
        <f t="shared" si="2"/>
        <v>2830.1574958024803</v>
      </c>
      <c r="H15" s="146">
        <f t="shared" si="2"/>
        <v>3040.9541100191673</v>
      </c>
      <c r="I15" s="146">
        <f t="shared" si="2"/>
        <v>3263.3409159801504</v>
      </c>
      <c r="J15" s="146">
        <f t="shared" si="2"/>
        <v>3496.6024820216453</v>
      </c>
      <c r="K15" s="527">
        <f t="shared" si="2"/>
        <v>3748.9297787328169</v>
      </c>
    </row>
    <row r="16" spans="1:11">
      <c r="A16" s="505" t="s">
        <v>269</v>
      </c>
      <c r="B16" s="146">
        <f>B15*0.2517</f>
        <v>279.17181971340727</v>
      </c>
      <c r="C16" s="146">
        <f t="shared" ref="C16:K16" si="3">C15*0.2517</f>
        <v>460.12768320272158</v>
      </c>
      <c r="D16" s="146">
        <f t="shared" si="3"/>
        <v>570.01945921537424</v>
      </c>
      <c r="E16" s="146">
        <f t="shared" si="3"/>
        <v>614.54687009396969</v>
      </c>
      <c r="F16" s="146">
        <f t="shared" si="3"/>
        <v>662.23300532814835</v>
      </c>
      <c r="G16" s="146">
        <f t="shared" si="3"/>
        <v>712.35064169348425</v>
      </c>
      <c r="H16" s="146">
        <f t="shared" si="3"/>
        <v>765.40814949182436</v>
      </c>
      <c r="I16" s="146">
        <f t="shared" si="3"/>
        <v>821.38290855220373</v>
      </c>
      <c r="J16" s="146">
        <f t="shared" si="3"/>
        <v>880.09484472484803</v>
      </c>
      <c r="K16" s="527">
        <f t="shared" si="3"/>
        <v>943.60562530704988</v>
      </c>
    </row>
    <row r="17" spans="1:11">
      <c r="A17" s="509" t="s">
        <v>270</v>
      </c>
      <c r="B17" s="528">
        <f>B15-B16</f>
        <v>829.97327251308184</v>
      </c>
      <c r="C17" s="528">
        <f t="shared" ref="C17:K17" si="4">C15-C16</f>
        <v>1367.9521070345515</v>
      </c>
      <c r="D17" s="528">
        <f t="shared" si="4"/>
        <v>1694.6585670673999</v>
      </c>
      <c r="E17" s="528">
        <f t="shared" si="4"/>
        <v>1827.0378342920844</v>
      </c>
      <c r="F17" s="528">
        <f t="shared" si="4"/>
        <v>1968.8079375727193</v>
      </c>
      <c r="G17" s="528">
        <f t="shared" si="4"/>
        <v>2117.806854108996</v>
      </c>
      <c r="H17" s="528">
        <f t="shared" si="4"/>
        <v>2275.5459605273427</v>
      </c>
      <c r="I17" s="528">
        <f t="shared" si="4"/>
        <v>2441.9580074279465</v>
      </c>
      <c r="J17" s="528">
        <f t="shared" si="4"/>
        <v>2616.5076372967974</v>
      </c>
      <c r="K17" s="529">
        <f t="shared" si="4"/>
        <v>2805.3241534257668</v>
      </c>
    </row>
  </sheetData>
  <mergeCells count="2">
    <mergeCell ref="A1:K1"/>
    <mergeCell ref="A3:K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5AEE-C5F7-4EEA-9564-5AB2D240F844}">
  <sheetPr codeName="Sheet35"/>
  <dimension ref="A1:K17"/>
  <sheetViews>
    <sheetView showGridLines="0" workbookViewId="0">
      <selection activeCell="E16" sqref="E16"/>
    </sheetView>
  </sheetViews>
  <sheetFormatPr defaultRowHeight="15"/>
  <cols>
    <col min="1" max="1" width="21" bestFit="1" customWidth="1"/>
    <col min="2" max="11" width="13.140625" customWidth="1"/>
  </cols>
  <sheetData>
    <row r="1" spans="1:11">
      <c r="A1" s="1105" t="s">
        <v>561</v>
      </c>
      <c r="B1" s="1106"/>
      <c r="C1" s="1106"/>
      <c r="D1" s="1106"/>
      <c r="E1" s="1106"/>
      <c r="F1" s="1106"/>
      <c r="G1" s="1106"/>
      <c r="H1" s="1106"/>
      <c r="I1" s="1106"/>
      <c r="J1" s="1106"/>
      <c r="K1" s="1107"/>
    </row>
    <row r="2" spans="1:11">
      <c r="A2" s="505" t="s">
        <v>257</v>
      </c>
      <c r="B2" s="506">
        <v>0.7</v>
      </c>
      <c r="C2" s="506">
        <v>0.9</v>
      </c>
      <c r="D2" s="506">
        <v>1</v>
      </c>
      <c r="E2" s="506">
        <v>1</v>
      </c>
      <c r="F2" s="506">
        <v>1</v>
      </c>
      <c r="G2" s="506">
        <v>1</v>
      </c>
      <c r="H2" s="506">
        <v>1</v>
      </c>
      <c r="I2" s="506">
        <v>1</v>
      </c>
      <c r="J2" s="506">
        <v>1</v>
      </c>
      <c r="K2" s="507">
        <v>1</v>
      </c>
    </row>
    <row r="3" spans="1:11">
      <c r="A3" s="1108" t="s">
        <v>258</v>
      </c>
      <c r="B3" s="1109"/>
      <c r="C3" s="1109"/>
      <c r="D3" s="1109"/>
      <c r="E3" s="1109"/>
      <c r="F3" s="1109"/>
      <c r="G3" s="1109"/>
      <c r="H3" s="1109"/>
      <c r="I3" s="1109"/>
      <c r="J3" s="1109"/>
      <c r="K3" s="1110"/>
    </row>
    <row r="4" spans="1:11">
      <c r="A4" s="505"/>
      <c r="B4" s="134" t="s">
        <v>259</v>
      </c>
      <c r="C4" s="134" t="s">
        <v>260</v>
      </c>
      <c r="D4" s="134" t="s">
        <v>261</v>
      </c>
      <c r="E4" s="134" t="s">
        <v>262</v>
      </c>
      <c r="F4" s="134" t="s">
        <v>263</v>
      </c>
      <c r="G4" s="134" t="s">
        <v>264</v>
      </c>
      <c r="H4" s="134" t="s">
        <v>265</v>
      </c>
      <c r="I4" s="134" t="s">
        <v>266</v>
      </c>
      <c r="J4" s="134" t="s">
        <v>267</v>
      </c>
      <c r="K4" s="508" t="s">
        <v>268</v>
      </c>
    </row>
    <row r="5" spans="1:11">
      <c r="A5" s="505" t="s">
        <v>298</v>
      </c>
      <c r="B5" s="146">
        <f>'Cashflow - PVC Phenol Propane'!H13</f>
        <v>4462.0699498387594</v>
      </c>
      <c r="C5" s="146">
        <f>'Cashflow - PVC Phenol Propane'!I13</f>
        <v>5683.2465087559467</v>
      </c>
      <c r="D5" s="146">
        <f>'Cashflow - PVC Phenol Propane'!J13</f>
        <v>6387.4183718636559</v>
      </c>
      <c r="E5" s="146">
        <f>'Cashflow - PVC Phenol Propane'!K13</f>
        <v>6745.1065192482711</v>
      </c>
      <c r="F5" s="146">
        <f>'Cashflow - PVC Phenol Propane'!L13</f>
        <v>7122.957578077182</v>
      </c>
      <c r="G5" s="146">
        <f>'Cashflow - PVC Phenol Propane'!M13</f>
        <v>7522.1143273586204</v>
      </c>
      <c r="H5" s="146">
        <f>'Cashflow - PVC Phenol Propane'!N13</f>
        <v>7943.7846029611173</v>
      </c>
      <c r="I5" s="146">
        <f>'Cashflow - PVC Phenol Propane'!O13</f>
        <v>8389.2450144748836</v>
      </c>
      <c r="J5" s="146">
        <f>'Cashflow - PVC Phenol Propane'!P13</f>
        <v>8859.8448750371481</v>
      </c>
      <c r="K5" s="527">
        <f>'Cashflow - PVC Phenol Propane'!Q13</f>
        <v>9357.0103563516841</v>
      </c>
    </row>
    <row r="6" spans="1:11">
      <c r="A6" s="505" t="s">
        <v>441</v>
      </c>
      <c r="B6" s="146">
        <f>SUM(B7:B12)</f>
        <v>2483.5123808314702</v>
      </c>
      <c r="C6" s="146">
        <f t="shared" ref="C6:K6" si="0">SUM(C7:C12)</f>
        <v>2985.7542417378736</v>
      </c>
      <c r="D6" s="146">
        <f t="shared" si="0"/>
        <v>3253.3278688000814</v>
      </c>
      <c r="E6" s="146">
        <f t="shared" si="0"/>
        <v>3434.1093380814168</v>
      </c>
      <c r="F6" s="146">
        <f t="shared" si="0"/>
        <v>3622.5041583955144</v>
      </c>
      <c r="G6" s="146">
        <f t="shared" si="0"/>
        <v>3822.5443547753398</v>
      </c>
      <c r="H6" s="146">
        <f t="shared" si="0"/>
        <v>4033.4180161611498</v>
      </c>
      <c r="I6" s="146">
        <f t="shared" si="0"/>
        <v>4256.4916217139335</v>
      </c>
      <c r="J6" s="146">
        <f t="shared" si="0"/>
        <v>4493.829916234703</v>
      </c>
      <c r="K6" s="527">
        <f t="shared" si="0"/>
        <v>4738.6681008380674</v>
      </c>
    </row>
    <row r="7" spans="1:11">
      <c r="A7" s="52" t="s">
        <v>28</v>
      </c>
      <c r="B7" s="146">
        <f>'Cashflow - PVC Phenol Propane'!H20</f>
        <v>1748.6078524609516</v>
      </c>
      <c r="C7" s="146">
        <f>'Cashflow - PVC Phenol Propane'!I20</f>
        <v>2155.6917227446902</v>
      </c>
      <c r="D7" s="146">
        <f>'Cashflow - PVC Phenol Propane'!J20</f>
        <v>2368.8825241386103</v>
      </c>
      <c r="E7" s="146">
        <f>'Cashflow - PVC Phenol Propane'!K20</f>
        <v>2507.6298695010551</v>
      </c>
      <c r="F7" s="146">
        <f>'Cashflow - PVC Phenol Propane'!L20</f>
        <v>2652.0147899086583</v>
      </c>
      <c r="G7" s="146">
        <f>'Cashflow - PVC Phenol Propane'!M20</f>
        <v>2806.0316806140627</v>
      </c>
      <c r="H7" s="146">
        <f>'Cashflow - PVC Phenol Propane'!N20</f>
        <v>2968.6722547547934</v>
      </c>
      <c r="I7" s="146">
        <f>'Cashflow - PVC Phenol Propane'!O20</f>
        <v>3141.1953656688565</v>
      </c>
      <c r="J7" s="146">
        <f>'Cashflow - PVC Phenol Propane'!P20</f>
        <v>3325.5528061942059</v>
      </c>
      <c r="K7" s="527">
        <f>'Cashflow - PVC Phenol Propane'!Q20</f>
        <v>3514.8612311688603</v>
      </c>
    </row>
    <row r="8" spans="1:11">
      <c r="A8" s="52" t="s">
        <v>325</v>
      </c>
      <c r="B8" s="146">
        <f>'Cashflow - PVC Phenol Propane'!H21</f>
        <v>92.910999999999987</v>
      </c>
      <c r="C8" s="146">
        <f>'Cashflow - PVC Phenol Propane'!I21</f>
        <v>126.76746975749997</v>
      </c>
      <c r="D8" s="146">
        <f>'Cashflow - PVC Phenol Propane'!J21</f>
        <v>149.50201821018209</v>
      </c>
      <c r="E8" s="146">
        <f>'Cashflow - PVC Phenol Propane'!K21</f>
        <v>158.46369243876413</v>
      </c>
      <c r="F8" s="146">
        <f>'Cashflow - PVC Phenol Propane'!L21</f>
        <v>167.91288241888759</v>
      </c>
      <c r="G8" s="146">
        <f>'Cashflow - PVC Phenol Propane'!M21</f>
        <v>177.8202462202492</v>
      </c>
      <c r="H8" s="146">
        <f>'Cashflow - PVC Phenol Propane'!N21</f>
        <v>188.31217420798251</v>
      </c>
      <c r="I8" s="146">
        <f>'Cashflow - PVC Phenol Propane'!O21</f>
        <v>199.42315742277611</v>
      </c>
      <c r="J8" s="146">
        <f>'Cashflow - PVC Phenol Propane'!P21</f>
        <v>211.18972198019213</v>
      </c>
      <c r="K8" s="527">
        <f>'Cashflow - PVC Phenol Propane'!Q21</f>
        <v>223.65054914618941</v>
      </c>
    </row>
    <row r="9" spans="1:11">
      <c r="A9" s="52" t="s">
        <v>29</v>
      </c>
      <c r="B9" s="146">
        <f>'Cashflow - PVC Phenol Propane'!H22</f>
        <v>53.82</v>
      </c>
      <c r="C9" s="146">
        <f>'Cashflow - PVC Phenol Propane'!I22</f>
        <v>56.241899999999994</v>
      </c>
      <c r="D9" s="146">
        <f>'Cashflow - PVC Phenol Propane'!J22</f>
        <v>58.772785499999991</v>
      </c>
      <c r="E9" s="146">
        <f>'Cashflow - PVC Phenol Propane'!K22</f>
        <v>61.417560847499992</v>
      </c>
      <c r="F9" s="146">
        <f>'Cashflow - PVC Phenol Propane'!L22</f>
        <v>64.181351085637473</v>
      </c>
      <c r="G9" s="146">
        <f>'Cashflow - PVC Phenol Propane'!M22</f>
        <v>67.069511884491163</v>
      </c>
      <c r="H9" s="146">
        <f>'Cashflow - PVC Phenol Propane'!N22</f>
        <v>70.087639919293238</v>
      </c>
      <c r="I9" s="146">
        <f>'Cashflow - PVC Phenol Propane'!O22</f>
        <v>73.241583715661449</v>
      </c>
      <c r="J9" s="146">
        <f>'Cashflow - PVC Phenol Propane'!P22</f>
        <v>76.53745498286618</v>
      </c>
      <c r="K9" s="527">
        <f>'Cashflow - PVC Phenol Propane'!Q22</f>
        <v>79.981640457095153</v>
      </c>
    </row>
    <row r="10" spans="1:11">
      <c r="A10" s="52" t="s">
        <v>17</v>
      </c>
      <c r="B10" s="146">
        <f>'Cashflow - PVC Phenol Propane'!H23</f>
        <v>336.36743734740003</v>
      </c>
      <c r="C10" s="146">
        <f>'Cashflow - PVC Phenol Propane'!I23</f>
        <v>372.30730225336998</v>
      </c>
      <c r="D10" s="146">
        <f>'Cashflow - PVC Phenol Propane'!J23</f>
        <v>389.06113085477159</v>
      </c>
      <c r="E10" s="146">
        <f>'Cashflow - PVC Phenol Propane'!K23</f>
        <v>406.56888174323637</v>
      </c>
      <c r="F10" s="146">
        <f>'Cashflow - PVC Phenol Propane'!L23</f>
        <v>424.86448142168183</v>
      </c>
      <c r="G10" s="146">
        <f>'Cashflow - PVC Phenol Propane'!M23</f>
        <v>443.98338308565752</v>
      </c>
      <c r="H10" s="146">
        <f>'Cashflow - PVC Phenol Propane'!N23</f>
        <v>463.96263532451201</v>
      </c>
      <c r="I10" s="146">
        <f>'Cashflow - PVC Phenol Propane'!O23</f>
        <v>484.84095391411512</v>
      </c>
      <c r="J10" s="146">
        <f>'Cashflow - PVC Phenol Propane'!P23</f>
        <v>506.65879684025015</v>
      </c>
      <c r="K10" s="527">
        <f>'Cashflow - PVC Phenol Propane'!Q23</f>
        <v>529.45844269806139</v>
      </c>
    </row>
    <row r="11" spans="1:11">
      <c r="A11" s="52" t="s">
        <v>20</v>
      </c>
      <c r="B11" s="146">
        <f>'Cashflow - PVC Phenol Propane'!H24</f>
        <v>96.573698443403998</v>
      </c>
      <c r="C11" s="146">
        <f>'Cashflow - PVC Phenol Propane'!I24</f>
        <v>104.11074991554466</v>
      </c>
      <c r="D11" s="146">
        <f>'Cashflow - PVC Phenol Propane'!J24</f>
        <v>108.79573366174417</v>
      </c>
      <c r="E11" s="146">
        <f>'Cashflow - PVC Phenol Propane'!K24</f>
        <v>113.69154167652266</v>
      </c>
      <c r="F11" s="146">
        <f>'Cashflow - PVC Phenol Propane'!L24</f>
        <v>118.80766105196614</v>
      </c>
      <c r="G11" s="146">
        <f>'Cashflow - PVC Phenol Propane'!M24</f>
        <v>124.15400579930463</v>
      </c>
      <c r="H11" s="146">
        <f>'Cashflow - PVC Phenol Propane'!N24</f>
        <v>129.7409360602733</v>
      </c>
      <c r="I11" s="146">
        <f>'Cashflow - PVC Phenol Propane'!O24</f>
        <v>135.5792781829856</v>
      </c>
      <c r="J11" s="146">
        <f>'Cashflow - PVC Phenol Propane'!P24</f>
        <v>141.68034570121992</v>
      </c>
      <c r="K11" s="527">
        <f>'Cashflow - PVC Phenol Propane'!Q24</f>
        <v>148.05596125777478</v>
      </c>
    </row>
    <row r="12" spans="1:11">
      <c r="A12" s="52" t="s">
        <v>21</v>
      </c>
      <c r="B12" s="146">
        <f>'Cashflow - PVC Phenol Propane'!H25</f>
        <v>155.23239257971522</v>
      </c>
      <c r="C12" s="146">
        <f>'Cashflow - PVC Phenol Propane'!I25</f>
        <v>170.63509706676908</v>
      </c>
      <c r="D12" s="146">
        <f>'Cashflow - PVC Phenol Propane'!J25</f>
        <v>178.31367643477367</v>
      </c>
      <c r="E12" s="146">
        <f>'Cashflow - PVC Phenol Propane'!K25</f>
        <v>186.33779187433851</v>
      </c>
      <c r="F12" s="146">
        <f>'Cashflow - PVC Phenol Propane'!L25</f>
        <v>194.72299250868366</v>
      </c>
      <c r="G12" s="146">
        <f>'Cashflow - PVC Phenol Propane'!M25</f>
        <v>203.48552717157443</v>
      </c>
      <c r="H12" s="146">
        <f>'Cashflow - PVC Phenol Propane'!N25</f>
        <v>212.64237589429524</v>
      </c>
      <c r="I12" s="146">
        <f>'Cashflow - PVC Phenol Propane'!O25</f>
        <v>222.21128280953855</v>
      </c>
      <c r="J12" s="146">
        <f>'Cashflow - PVC Phenol Propane'!P25</f>
        <v>232.2107905359677</v>
      </c>
      <c r="K12" s="527">
        <f>'Cashflow - PVC Phenol Propane'!Q25</f>
        <v>242.66027611008622</v>
      </c>
    </row>
    <row r="13" spans="1:11">
      <c r="A13" s="505" t="s">
        <v>442</v>
      </c>
      <c r="B13" s="146">
        <f t="shared" ref="B13:K13" si="1">B5-B6</f>
        <v>1978.5575690072892</v>
      </c>
      <c r="C13" s="146">
        <f t="shared" si="1"/>
        <v>2697.4922670180731</v>
      </c>
      <c r="D13" s="146">
        <f t="shared" si="1"/>
        <v>3134.0905030635745</v>
      </c>
      <c r="E13" s="146">
        <f t="shared" si="1"/>
        <v>3310.9971811668543</v>
      </c>
      <c r="F13" s="146">
        <f t="shared" si="1"/>
        <v>3500.4534196816676</v>
      </c>
      <c r="G13" s="146">
        <f t="shared" si="1"/>
        <v>3699.5699725832806</v>
      </c>
      <c r="H13" s="146">
        <f t="shared" si="1"/>
        <v>3910.3665867999675</v>
      </c>
      <c r="I13" s="146">
        <f t="shared" si="1"/>
        <v>4132.7533927609502</v>
      </c>
      <c r="J13" s="146">
        <f t="shared" si="1"/>
        <v>4366.0149588024451</v>
      </c>
      <c r="K13" s="527">
        <f t="shared" si="1"/>
        <v>4618.3422555136167</v>
      </c>
    </row>
    <row r="14" spans="1:11">
      <c r="A14" s="505" t="s">
        <v>448</v>
      </c>
      <c r="B14" s="146">
        <f>-'Cashflow - PVC Phenol Propane'!$G$12/10</f>
        <v>869.41247678080003</v>
      </c>
      <c r="C14" s="146">
        <f>-'Cashflow - PVC Phenol Propane'!$G$12/10</f>
        <v>869.41247678080003</v>
      </c>
      <c r="D14" s="146">
        <f>-'Cashflow - PVC Phenol Propane'!$G$12/10</f>
        <v>869.41247678080003</v>
      </c>
      <c r="E14" s="146">
        <f>-'Cashflow - PVC Phenol Propane'!$G$12/10</f>
        <v>869.41247678080003</v>
      </c>
      <c r="F14" s="146">
        <f>-'Cashflow - PVC Phenol Propane'!$G$12/10</f>
        <v>869.41247678080003</v>
      </c>
      <c r="G14" s="146">
        <f>-'Cashflow - PVC Phenol Propane'!$G$12/10</f>
        <v>869.41247678080003</v>
      </c>
      <c r="H14" s="146">
        <f>-'Cashflow - PVC Phenol Propane'!$G$12/10</f>
        <v>869.41247678080003</v>
      </c>
      <c r="I14" s="146">
        <f>-'Cashflow - PVC Phenol Propane'!$G$12/10</f>
        <v>869.41247678080003</v>
      </c>
      <c r="J14" s="146">
        <f>-'Cashflow - PVC Phenol Propane'!$G$12/10</f>
        <v>869.41247678080003</v>
      </c>
      <c r="K14" s="527">
        <f>-'Cashflow - PVC Phenol Propane'!$G$12/10</f>
        <v>869.41247678080003</v>
      </c>
    </row>
    <row r="15" spans="1:11">
      <c r="A15" s="505" t="s">
        <v>449</v>
      </c>
      <c r="B15" s="146">
        <f>B13-B14</f>
        <v>1109.1450922264892</v>
      </c>
      <c r="C15" s="146">
        <f t="shared" ref="C15:K15" si="2">C13-C14</f>
        <v>1828.0797902372731</v>
      </c>
      <c r="D15" s="146">
        <f t="shared" si="2"/>
        <v>2264.6780262827742</v>
      </c>
      <c r="E15" s="146">
        <f t="shared" si="2"/>
        <v>2441.584704386054</v>
      </c>
      <c r="F15" s="146">
        <f t="shared" si="2"/>
        <v>2631.0409429008678</v>
      </c>
      <c r="G15" s="146">
        <f t="shared" si="2"/>
        <v>2830.1574958024803</v>
      </c>
      <c r="H15" s="146">
        <f t="shared" si="2"/>
        <v>3040.9541100191673</v>
      </c>
      <c r="I15" s="146">
        <f t="shared" si="2"/>
        <v>3263.3409159801504</v>
      </c>
      <c r="J15" s="146">
        <f t="shared" si="2"/>
        <v>3496.6024820216453</v>
      </c>
      <c r="K15" s="527">
        <f t="shared" si="2"/>
        <v>3748.9297787328169</v>
      </c>
    </row>
    <row r="16" spans="1:11">
      <c r="A16" s="505" t="s">
        <v>269</v>
      </c>
      <c r="B16" s="146">
        <f>B15*0.2517</f>
        <v>279.17181971340727</v>
      </c>
      <c r="C16" s="146">
        <f t="shared" ref="C16:K16" si="3">C15*0.2517</f>
        <v>460.12768320272158</v>
      </c>
      <c r="D16" s="146">
        <f t="shared" si="3"/>
        <v>570.01945921537424</v>
      </c>
      <c r="E16" s="146">
        <f t="shared" si="3"/>
        <v>614.54687009396969</v>
      </c>
      <c r="F16" s="146">
        <f t="shared" si="3"/>
        <v>662.23300532814835</v>
      </c>
      <c r="G16" s="146">
        <f t="shared" si="3"/>
        <v>712.35064169348425</v>
      </c>
      <c r="H16" s="146">
        <f t="shared" si="3"/>
        <v>765.40814949182436</v>
      </c>
      <c r="I16" s="146">
        <f t="shared" si="3"/>
        <v>821.38290855220373</v>
      </c>
      <c r="J16" s="146">
        <f t="shared" si="3"/>
        <v>880.09484472484803</v>
      </c>
      <c r="K16" s="527">
        <f t="shared" si="3"/>
        <v>943.60562530704988</v>
      </c>
    </row>
    <row r="17" spans="1:11">
      <c r="A17" s="509" t="s">
        <v>270</v>
      </c>
      <c r="B17" s="528">
        <f>B15-B16</f>
        <v>829.97327251308184</v>
      </c>
      <c r="C17" s="528">
        <f t="shared" ref="C17:K17" si="4">C15-C16</f>
        <v>1367.9521070345515</v>
      </c>
      <c r="D17" s="528">
        <f t="shared" si="4"/>
        <v>1694.6585670673999</v>
      </c>
      <c r="E17" s="528">
        <f t="shared" si="4"/>
        <v>1827.0378342920844</v>
      </c>
      <c r="F17" s="528">
        <f t="shared" si="4"/>
        <v>1968.8079375727193</v>
      </c>
      <c r="G17" s="528">
        <f t="shared" si="4"/>
        <v>2117.806854108996</v>
      </c>
      <c r="H17" s="528">
        <f t="shared" si="4"/>
        <v>2275.5459605273427</v>
      </c>
      <c r="I17" s="528">
        <f t="shared" si="4"/>
        <v>2441.9580074279465</v>
      </c>
      <c r="J17" s="528">
        <f t="shared" si="4"/>
        <v>2616.5076372967974</v>
      </c>
      <c r="K17" s="529">
        <f t="shared" si="4"/>
        <v>2805.3241534257668</v>
      </c>
    </row>
  </sheetData>
  <mergeCells count="2">
    <mergeCell ref="A1:K1"/>
    <mergeCell ref="A3:K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0657-03AD-4A2B-819D-A3946BABD386}">
  <sheetPr codeName="Sheet36"/>
  <dimension ref="A1:G25"/>
  <sheetViews>
    <sheetView showGridLines="0" workbookViewId="0">
      <selection activeCell="B1" sqref="B1:G1"/>
    </sheetView>
  </sheetViews>
  <sheetFormatPr defaultRowHeight="15"/>
  <cols>
    <col min="2" max="2" width="63.7109375" bestFit="1" customWidth="1"/>
    <col min="3" max="3" width="18.85546875" customWidth="1"/>
    <col min="4" max="4" width="18.140625" customWidth="1"/>
  </cols>
  <sheetData>
    <row r="1" spans="2:7">
      <c r="B1" s="1105" t="s">
        <v>561</v>
      </c>
      <c r="C1" s="1106"/>
      <c r="D1" s="1106"/>
      <c r="E1" s="1106"/>
      <c r="F1" s="1106"/>
      <c r="G1" s="1107"/>
    </row>
    <row r="2" spans="2:7">
      <c r="B2" s="505" t="s">
        <v>257</v>
      </c>
      <c r="D2" s="506">
        <v>1</v>
      </c>
      <c r="E2" s="506">
        <v>1</v>
      </c>
      <c r="F2" s="506">
        <v>1</v>
      </c>
      <c r="G2" s="507">
        <v>1</v>
      </c>
    </row>
    <row r="3" spans="2:7">
      <c r="B3" s="1108" t="s">
        <v>258</v>
      </c>
      <c r="C3" s="1109"/>
      <c r="G3" s="594"/>
    </row>
    <row r="4" spans="2:7">
      <c r="B4" s="505"/>
      <c r="C4" s="134" t="s">
        <v>262</v>
      </c>
      <c r="D4" s="134">
        <v>1</v>
      </c>
      <c r="E4" s="134">
        <v>2</v>
      </c>
      <c r="F4" s="134">
        <v>3</v>
      </c>
      <c r="G4" s="508">
        <v>4</v>
      </c>
    </row>
    <row r="5" spans="2:7">
      <c r="B5" s="505" t="s">
        <v>298</v>
      </c>
      <c r="C5" s="146">
        <f>'Cashflow - PVC Phenol Propane'!K13</f>
        <v>6745.1065192482711</v>
      </c>
      <c r="D5" s="146">
        <f>C5-C5*0.11</f>
        <v>6003.1448021309616</v>
      </c>
      <c r="E5" s="146">
        <f>C5</f>
        <v>6745.1065192482711</v>
      </c>
      <c r="F5" s="146">
        <f>C5-C5*0.05</f>
        <v>6407.8511932858573</v>
      </c>
      <c r="G5" s="527">
        <f>C5</f>
        <v>6745.1065192482711</v>
      </c>
    </row>
    <row r="6" spans="2:7">
      <c r="B6" s="505" t="s">
        <v>441</v>
      </c>
      <c r="C6" s="146">
        <f t="shared" ref="C6:F6" si="0">SUM(C7:C12)</f>
        <v>3434.1093380814168</v>
      </c>
      <c r="D6" s="146">
        <f t="shared" si="0"/>
        <v>3434.1093380814168</v>
      </c>
      <c r="E6" s="146">
        <f t="shared" si="0"/>
        <v>3847.868266549091</v>
      </c>
      <c r="F6" s="146">
        <f t="shared" si="0"/>
        <v>3659.7960263365117</v>
      </c>
      <c r="G6" s="527">
        <f>C6+C6*0.145</f>
        <v>3932.055192103222</v>
      </c>
    </row>
    <row r="7" spans="2:7">
      <c r="B7" s="52" t="s">
        <v>28</v>
      </c>
      <c r="C7" s="146">
        <f>'Cashflow - PVC Phenol Propane'!K20</f>
        <v>2507.6298695010551</v>
      </c>
      <c r="D7" s="146">
        <f>C7</f>
        <v>2507.6298695010551</v>
      </c>
      <c r="E7" s="146">
        <f>C7+C7*0.165</f>
        <v>2921.3887979687292</v>
      </c>
      <c r="F7" s="146">
        <f>C7+C7*0.09</f>
        <v>2733.3165577561499</v>
      </c>
      <c r="G7" s="527">
        <f>C7</f>
        <v>2507.6298695010551</v>
      </c>
    </row>
    <row r="8" spans="2:7">
      <c r="B8" s="52" t="s">
        <v>325</v>
      </c>
      <c r="C8" s="146">
        <f>'Cashflow - PVC Phenol Propane'!K21</f>
        <v>158.46369243876413</v>
      </c>
      <c r="D8" s="146">
        <f t="shared" ref="D8:D12" si="1">C8</f>
        <v>158.46369243876413</v>
      </c>
      <c r="E8" s="146">
        <f>C8</f>
        <v>158.46369243876413</v>
      </c>
      <c r="F8" s="146">
        <f>C8</f>
        <v>158.46369243876413</v>
      </c>
      <c r="G8" s="527">
        <f t="shared" ref="G8:G12" si="2">C8</f>
        <v>158.46369243876413</v>
      </c>
    </row>
    <row r="9" spans="2:7">
      <c r="B9" s="52" t="s">
        <v>29</v>
      </c>
      <c r="C9" s="146">
        <f>'Cashflow - PVC Phenol Propane'!K22</f>
        <v>61.417560847499992</v>
      </c>
      <c r="D9" s="146">
        <f t="shared" si="1"/>
        <v>61.417560847499992</v>
      </c>
      <c r="E9" s="146">
        <f>C9</f>
        <v>61.417560847499992</v>
      </c>
      <c r="F9" s="146">
        <f>C9</f>
        <v>61.417560847499992</v>
      </c>
      <c r="G9" s="527">
        <f t="shared" si="2"/>
        <v>61.417560847499992</v>
      </c>
    </row>
    <row r="10" spans="2:7">
      <c r="B10" s="52" t="s">
        <v>17</v>
      </c>
      <c r="C10" s="146">
        <f>'Cashflow - PVC Phenol Propane'!K23</f>
        <v>406.56888174323637</v>
      </c>
      <c r="D10" s="146">
        <f t="shared" si="1"/>
        <v>406.56888174323637</v>
      </c>
      <c r="E10" s="146">
        <f>C10</f>
        <v>406.56888174323637</v>
      </c>
      <c r="F10" s="146">
        <f>C10</f>
        <v>406.56888174323637</v>
      </c>
      <c r="G10" s="527">
        <f t="shared" si="2"/>
        <v>406.56888174323637</v>
      </c>
    </row>
    <row r="11" spans="2:7">
      <c r="B11" s="52" t="s">
        <v>20</v>
      </c>
      <c r="C11" s="146">
        <f>'Cashflow - PVC Phenol Propane'!K24</f>
        <v>113.69154167652266</v>
      </c>
      <c r="D11" s="146">
        <f t="shared" si="1"/>
        <v>113.69154167652266</v>
      </c>
      <c r="E11" s="146">
        <f>C11</f>
        <v>113.69154167652266</v>
      </c>
      <c r="F11" s="146">
        <f>C11</f>
        <v>113.69154167652266</v>
      </c>
      <c r="G11" s="527">
        <f t="shared" si="2"/>
        <v>113.69154167652266</v>
      </c>
    </row>
    <row r="12" spans="2:7">
      <c r="B12" s="52" t="s">
        <v>21</v>
      </c>
      <c r="C12" s="146">
        <f>'Cashflow - PVC Phenol Propane'!K25</f>
        <v>186.33779187433851</v>
      </c>
      <c r="D12" s="146">
        <f t="shared" si="1"/>
        <v>186.33779187433851</v>
      </c>
      <c r="E12" s="146">
        <f>C12</f>
        <v>186.33779187433851</v>
      </c>
      <c r="F12" s="146">
        <f>C12</f>
        <v>186.33779187433851</v>
      </c>
      <c r="G12" s="527">
        <f t="shared" si="2"/>
        <v>186.33779187433851</v>
      </c>
    </row>
    <row r="13" spans="2:7">
      <c r="B13" s="505" t="s">
        <v>442</v>
      </c>
      <c r="C13" s="146">
        <f t="shared" ref="C13:G13" si="3">C5-C6</f>
        <v>3310.9971811668543</v>
      </c>
      <c r="D13" s="146">
        <f t="shared" si="3"/>
        <v>2569.0354640495448</v>
      </c>
      <c r="E13" s="146">
        <f t="shared" si="3"/>
        <v>2897.2382526991801</v>
      </c>
      <c r="F13" s="146">
        <f t="shared" si="3"/>
        <v>2748.0551669493457</v>
      </c>
      <c r="G13" s="527">
        <f t="shared" si="3"/>
        <v>2813.0513271450491</v>
      </c>
    </row>
    <row r="14" spans="2:7">
      <c r="B14" s="505" t="s">
        <v>448</v>
      </c>
      <c r="C14" s="146">
        <f>' Profitabilty_PVC Phenol'!B14</f>
        <v>869.41247678080003</v>
      </c>
      <c r="D14" s="146">
        <f>C14</f>
        <v>869.41247678080003</v>
      </c>
      <c r="E14" s="146">
        <f>C14</f>
        <v>869.41247678080003</v>
      </c>
      <c r="F14" s="146">
        <f>C14</f>
        <v>869.41247678080003</v>
      </c>
      <c r="G14" s="527">
        <f>C14</f>
        <v>869.41247678080003</v>
      </c>
    </row>
    <row r="15" spans="2:7">
      <c r="B15" s="505" t="s">
        <v>449</v>
      </c>
      <c r="C15" s="146">
        <f t="shared" ref="C15:G15" si="4">C13-C14</f>
        <v>2441.584704386054</v>
      </c>
      <c r="D15" s="146">
        <f t="shared" si="4"/>
        <v>1699.6229872687447</v>
      </c>
      <c r="E15" s="146">
        <f t="shared" si="4"/>
        <v>2027.82577591838</v>
      </c>
      <c r="F15" s="146">
        <f t="shared" si="4"/>
        <v>1878.6426901685456</v>
      </c>
      <c r="G15" s="527">
        <f t="shared" si="4"/>
        <v>1943.638850364249</v>
      </c>
    </row>
    <row r="16" spans="2:7">
      <c r="B16" s="505" t="s">
        <v>269</v>
      </c>
      <c r="C16" s="146">
        <f t="shared" ref="C16:G16" si="5">C15*0.2517</f>
        <v>614.54687009396969</v>
      </c>
      <c r="D16" s="146">
        <f t="shared" si="5"/>
        <v>427.79510589554303</v>
      </c>
      <c r="E16" s="146">
        <f t="shared" si="5"/>
        <v>510.40374779865618</v>
      </c>
      <c r="F16" s="146">
        <f t="shared" si="5"/>
        <v>472.85436511542292</v>
      </c>
      <c r="G16" s="527">
        <f t="shared" si="5"/>
        <v>489.21389863668145</v>
      </c>
    </row>
    <row r="17" spans="1:7">
      <c r="B17" s="509" t="s">
        <v>270</v>
      </c>
      <c r="C17" s="528">
        <f t="shared" ref="C17:G17" si="6">C15-C16</f>
        <v>1827.0378342920844</v>
      </c>
      <c r="D17" s="528">
        <f t="shared" si="6"/>
        <v>1271.8278813732018</v>
      </c>
      <c r="E17" s="528">
        <f t="shared" si="6"/>
        <v>1517.4220281197238</v>
      </c>
      <c r="F17" s="528">
        <f t="shared" si="6"/>
        <v>1405.7883250531227</v>
      </c>
      <c r="G17" s="529">
        <f t="shared" si="6"/>
        <v>1454.4249517275675</v>
      </c>
    </row>
    <row r="18" spans="1:7">
      <c r="D18" s="597"/>
      <c r="E18" s="597"/>
      <c r="F18" s="597"/>
      <c r="G18" s="597"/>
    </row>
    <row r="19" spans="1:7">
      <c r="A19" s="526" t="s">
        <v>117</v>
      </c>
      <c r="B19" s="1111" t="s">
        <v>364</v>
      </c>
      <c r="C19" s="1112"/>
      <c r="D19" s="1112"/>
    </row>
    <row r="20" spans="1:7">
      <c r="A20" s="523"/>
      <c r="B20" s="343" t="s">
        <v>358</v>
      </c>
      <c r="C20" s="344" t="s">
        <v>270</v>
      </c>
      <c r="D20" s="601" t="s">
        <v>492</v>
      </c>
    </row>
    <row r="21" spans="1:7">
      <c r="A21" s="524"/>
      <c r="B21" s="345" t="s">
        <v>491</v>
      </c>
      <c r="C21" s="598">
        <f>C17</f>
        <v>1827.0378342920844</v>
      </c>
      <c r="D21" s="602" t="s">
        <v>493</v>
      </c>
    </row>
    <row r="22" spans="1:7">
      <c r="A22" s="524">
        <v>1</v>
      </c>
      <c r="B22" s="345" t="s">
        <v>360</v>
      </c>
      <c r="C22" s="599">
        <f>D17</f>
        <v>1271.8278813732018</v>
      </c>
      <c r="D22" s="923">
        <f>(C22-$C$21)/$C$21</f>
        <v>-0.30388530686011095</v>
      </c>
    </row>
    <row r="23" spans="1:7">
      <c r="A23" s="524">
        <v>2</v>
      </c>
      <c r="B23" s="345" t="s">
        <v>361</v>
      </c>
      <c r="C23" s="599">
        <f>E17</f>
        <v>1517.4220281197238</v>
      </c>
      <c r="D23" s="923">
        <f t="shared" ref="D23:D25" si="7">(C23-$C$21)/$C$21</f>
        <v>-0.16946327019676979</v>
      </c>
    </row>
    <row r="24" spans="1:7">
      <c r="A24" s="524">
        <v>3</v>
      </c>
      <c r="B24" s="345" t="s">
        <v>362</v>
      </c>
      <c r="C24" s="599">
        <f>F17</f>
        <v>1405.7883250531227</v>
      </c>
      <c r="D24" s="923">
        <f t="shared" si="7"/>
        <v>-0.23056419595283409</v>
      </c>
    </row>
    <row r="25" spans="1:7">
      <c r="A25" s="525">
        <v>4</v>
      </c>
      <c r="B25" s="349" t="s">
        <v>363</v>
      </c>
      <c r="C25" s="600">
        <f>G17</f>
        <v>1454.4249517275675</v>
      </c>
      <c r="D25" s="924">
        <f t="shared" si="7"/>
        <v>-0.20394371455853941</v>
      </c>
    </row>
  </sheetData>
  <mergeCells count="3">
    <mergeCell ref="B1:G1"/>
    <mergeCell ref="B3:C3"/>
    <mergeCell ref="B19:D19"/>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3533E-2699-4C68-9F3F-922BCF389B3F}">
  <sheetPr codeName="Sheet32"/>
  <dimension ref="A1:AA65"/>
  <sheetViews>
    <sheetView showGridLines="0" zoomScaleNormal="100" workbookViewId="0">
      <pane ySplit="8" topLeftCell="A9" activePane="bottomLeft" state="frozen"/>
      <selection activeCell="E28" sqref="E28"/>
      <selection pane="bottomLeft" activeCell="H14" sqref="H14"/>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6" ht="21" customHeight="1">
      <c r="A1" s="1079" t="str">
        <f>'Opex PVC'!A1</f>
        <v>Capacity for 350 KTPA PVC Plant using Captive Ethylene</v>
      </c>
      <c r="B1" s="1080"/>
      <c r="C1" s="1080"/>
      <c r="D1" s="1080"/>
      <c r="E1" s="1080"/>
      <c r="F1" s="1080"/>
      <c r="G1" s="620"/>
      <c r="H1" s="620"/>
      <c r="I1" s="620"/>
      <c r="J1" s="620"/>
      <c r="K1" s="620"/>
      <c r="L1" s="620"/>
      <c r="M1" s="620"/>
      <c r="N1" s="620"/>
      <c r="O1" s="620"/>
      <c r="P1" s="620"/>
      <c r="Q1" s="620"/>
      <c r="R1" s="620"/>
      <c r="S1" s="620"/>
      <c r="T1" s="620"/>
      <c r="U1" s="620"/>
      <c r="V1" s="620"/>
      <c r="W1" s="620"/>
      <c r="X1" s="620"/>
      <c r="Y1" s="620"/>
      <c r="Z1" s="620"/>
    </row>
    <row r="2" spans="1:26" s="167" customFormat="1" ht="15" customHeight="1">
      <c r="A2" s="1079" t="s">
        <v>440</v>
      </c>
      <c r="B2" s="108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6" s="167" customFormat="1" ht="15" customHeight="1">
      <c r="A3" s="1088" t="s">
        <v>221</v>
      </c>
      <c r="B3" s="108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6" ht="15" customHeight="1">
      <c r="A4" s="1086" t="s">
        <v>24</v>
      </c>
      <c r="B4" s="1087"/>
      <c r="C4" s="169"/>
      <c r="D4" s="169"/>
      <c r="E4" s="169"/>
      <c r="F4" s="169"/>
      <c r="G4" s="170"/>
      <c r="H4" s="1078" t="s">
        <v>25</v>
      </c>
      <c r="I4" s="1078"/>
      <c r="J4" s="1078"/>
      <c r="K4" s="1078"/>
      <c r="L4" s="1078"/>
      <c r="M4" s="1078"/>
      <c r="N4" s="1078"/>
      <c r="O4" s="1078"/>
      <c r="P4" s="1078"/>
      <c r="Q4" s="1078"/>
      <c r="R4" s="1078" t="s">
        <v>25</v>
      </c>
      <c r="S4" s="1078"/>
      <c r="T4" s="1078"/>
      <c r="U4" s="1078"/>
      <c r="V4" s="1078"/>
      <c r="W4" s="1078"/>
      <c r="X4" s="1078"/>
      <c r="Y4" s="1078"/>
      <c r="Z4" s="1078"/>
    </row>
    <row r="5" spans="1:26">
      <c r="A5" s="239"/>
      <c r="B5" s="1081"/>
      <c r="C5" s="238">
        <v>2023</v>
      </c>
      <c r="D5" s="238">
        <v>2024</v>
      </c>
      <c r="E5" s="238">
        <v>2025</v>
      </c>
      <c r="F5" s="238">
        <v>2026</v>
      </c>
      <c r="G5" s="238" t="s">
        <v>150</v>
      </c>
      <c r="H5" s="238">
        <v>2027</v>
      </c>
      <c r="I5" s="238">
        <v>2028</v>
      </c>
      <c r="J5" s="238">
        <v>2029</v>
      </c>
      <c r="K5" s="238">
        <v>2030</v>
      </c>
      <c r="L5" s="238">
        <v>2031</v>
      </c>
      <c r="M5" s="238">
        <v>2032</v>
      </c>
      <c r="N5" s="238">
        <v>2032</v>
      </c>
      <c r="O5" s="238">
        <v>2033</v>
      </c>
      <c r="P5" s="238">
        <v>2034</v>
      </c>
      <c r="Q5" s="238">
        <v>2035</v>
      </c>
      <c r="R5" s="238">
        <v>2036</v>
      </c>
      <c r="S5" s="238">
        <v>2037</v>
      </c>
      <c r="T5" s="238">
        <v>2038</v>
      </c>
      <c r="U5" s="238">
        <v>2039</v>
      </c>
      <c r="V5" s="238">
        <v>2040</v>
      </c>
      <c r="W5" s="238">
        <v>2041</v>
      </c>
      <c r="X5" s="238">
        <v>2042</v>
      </c>
      <c r="Y5" s="238">
        <v>2043</v>
      </c>
      <c r="Z5" s="238">
        <v>2044</v>
      </c>
    </row>
    <row r="6" spans="1:26">
      <c r="A6" s="240"/>
      <c r="B6" s="108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row>
    <row r="7" spans="1:26" ht="19.5" customHeight="1">
      <c r="A7" s="1084" t="s">
        <v>241</v>
      </c>
      <c r="B7" s="1085"/>
      <c r="C7" s="1085"/>
      <c r="D7" s="1085"/>
      <c r="E7" s="1085"/>
      <c r="F7" s="1085"/>
      <c r="G7" s="1085"/>
      <c r="H7" s="177"/>
      <c r="I7" s="177"/>
      <c r="J7" s="177"/>
      <c r="K7" s="177"/>
      <c r="L7" s="177"/>
      <c r="M7" s="177"/>
      <c r="N7" s="178"/>
      <c r="O7" s="177"/>
      <c r="P7" s="178"/>
      <c r="Q7" s="177"/>
      <c r="R7" s="179"/>
      <c r="S7" s="179"/>
      <c r="T7" s="179"/>
      <c r="U7" s="179"/>
      <c r="V7" s="179"/>
      <c r="W7" s="179"/>
      <c r="X7" s="179"/>
      <c r="Y7" s="179"/>
      <c r="Z7" s="179"/>
    </row>
    <row r="8" spans="1:26" ht="21.75" customHeight="1">
      <c r="A8" s="180">
        <v>1</v>
      </c>
      <c r="B8" s="181" t="s">
        <v>239</v>
      </c>
      <c r="C8" s="182">
        <f>ROUND($G8*C$6,2)</f>
        <v>207.97</v>
      </c>
      <c r="D8" s="182">
        <f>ROUND($G8*D$6,2)</f>
        <v>1039.8599999999999</v>
      </c>
      <c r="E8" s="182">
        <f>ROUND($G8*E$6,2)</f>
        <v>1455.81</v>
      </c>
      <c r="F8" s="182">
        <f>ROUND($G8*F$6,2)</f>
        <v>1455.81</v>
      </c>
      <c r="G8" s="244">
        <f>Capex!D21</f>
        <v>4159.4497678079997</v>
      </c>
      <c r="H8" s="183"/>
      <c r="I8" s="184"/>
      <c r="J8" s="183"/>
      <c r="K8" s="183"/>
      <c r="L8" s="183"/>
      <c r="M8" s="183"/>
      <c r="N8" s="185"/>
      <c r="O8" s="183"/>
      <c r="P8" s="183"/>
      <c r="Q8" s="183"/>
      <c r="R8" s="186"/>
      <c r="S8" s="186"/>
      <c r="T8" s="186"/>
      <c r="U8" s="186"/>
      <c r="V8" s="186"/>
      <c r="W8" s="186"/>
      <c r="X8" s="186"/>
      <c r="Y8" s="186"/>
      <c r="Z8" s="186"/>
    </row>
    <row r="9" spans="1:26" s="167" customFormat="1" ht="25.5" customHeight="1">
      <c r="A9" s="187"/>
      <c r="B9" s="188" t="s">
        <v>240</v>
      </c>
      <c r="C9" s="189">
        <f>SUM(C8:C8)</f>
        <v>207.97</v>
      </c>
      <c r="D9" s="189">
        <f>SUM(D8:D8)</f>
        <v>1039.8599999999999</v>
      </c>
      <c r="E9" s="189">
        <f>SUM(E8:E8)</f>
        <v>1455.81</v>
      </c>
      <c r="F9" s="189">
        <f>SUM(F8:F8)</f>
        <v>1455.81</v>
      </c>
      <c r="G9" s="190">
        <f>-G8</f>
        <v>-4159.4497678079997</v>
      </c>
      <c r="H9" s="191"/>
      <c r="I9" s="191"/>
      <c r="J9" s="191"/>
      <c r="K9" s="191"/>
      <c r="L9" s="191"/>
      <c r="M9" s="191"/>
      <c r="N9" s="192"/>
      <c r="O9" s="192"/>
      <c r="P9" s="192"/>
      <c r="Q9" s="192"/>
      <c r="R9" s="193"/>
      <c r="S9" s="193"/>
      <c r="T9" s="193"/>
      <c r="U9" s="193"/>
      <c r="V9" s="193"/>
      <c r="W9" s="193"/>
      <c r="X9" s="193"/>
      <c r="Y9" s="193"/>
      <c r="Z9" s="193"/>
    </row>
    <row r="10" spans="1:26">
      <c r="A10" s="194">
        <v>2</v>
      </c>
      <c r="B10" s="195" t="s">
        <v>27</v>
      </c>
      <c r="C10" s="195"/>
      <c r="D10" s="195"/>
      <c r="E10" s="195"/>
      <c r="F10" s="195"/>
      <c r="G10" s="196"/>
      <c r="H10" s="197">
        <f>H11</f>
        <v>3842.6360000000004</v>
      </c>
      <c r="I10" s="197">
        <f t="shared" ref="I10:Z10" si="0">I11</f>
        <v>2490.0937716096746</v>
      </c>
      <c r="J10" s="197">
        <f t="shared" si="0"/>
        <v>2925.9708524756611</v>
      </c>
      <c r="K10" s="197">
        <f t="shared" si="0"/>
        <v>3094.3312153271104</v>
      </c>
      <c r="L10" s="197">
        <f t="shared" si="0"/>
        <v>3272.3790334570317</v>
      </c>
      <c r="M10" s="197">
        <f t="shared" si="0"/>
        <v>3460.6717230421491</v>
      </c>
      <c r="N10" s="197">
        <f t="shared" si="0"/>
        <v>3659.7987739859932</v>
      </c>
      <c r="O10" s="197">
        <f t="shared" si="0"/>
        <v>3870.3835954411475</v>
      </c>
      <c r="P10" s="197">
        <f t="shared" si="0"/>
        <v>4093.0854675228293</v>
      </c>
      <c r="Q10" s="197">
        <f t="shared" si="0"/>
        <v>4328.6016053240928</v>
      </c>
      <c r="R10" s="197">
        <f t="shared" si="0"/>
        <v>4577.6693416944408</v>
      </c>
      <c r="S10" s="197">
        <f t="shared" si="0"/>
        <v>4841.0684356155389</v>
      </c>
      <c r="T10" s="197">
        <f t="shared" si="0"/>
        <v>5119.6235134008557</v>
      </c>
      <c r="U10" s="197">
        <f t="shared" si="0"/>
        <v>5414.2066503619417</v>
      </c>
      <c r="V10" s="197">
        <f t="shared" si="0"/>
        <v>5725.7401010237663</v>
      </c>
      <c r="W10" s="197">
        <f t="shared" si="0"/>
        <v>6055.1991864366746</v>
      </c>
      <c r="X10" s="197">
        <f t="shared" si="0"/>
        <v>6403.615347624238</v>
      </c>
      <c r="Y10" s="197">
        <f t="shared" si="0"/>
        <v>6772.0793747265361</v>
      </c>
      <c r="Z10" s="197">
        <f t="shared" si="0"/>
        <v>7161.7448219482994</v>
      </c>
    </row>
    <row r="11" spans="1:26" s="167" customFormat="1">
      <c r="A11" s="52"/>
      <c r="B11" s="162" t="s">
        <v>87</v>
      </c>
      <c r="C11" s="162"/>
      <c r="D11" s="162"/>
      <c r="E11" s="162"/>
      <c r="F11" s="162"/>
      <c r="G11" s="198">
        <v>1</v>
      </c>
      <c r="H11" s="199">
        <f>Sales!E14*0.8</f>
        <v>3842.6360000000004</v>
      </c>
      <c r="I11" s="199">
        <f>IF(I$2&lt;=$C$46,0,Sales!F5*I$3*(1+$C$45)^(I$2-$C$46-1))</f>
        <v>2490.0937716096746</v>
      </c>
      <c r="J11" s="199">
        <f>IF(J$2&lt;=$C$46,0,Sales!G5*J$3*(1+$C$45)^(J$2-$C$46-1))</f>
        <v>2925.9708524756611</v>
      </c>
      <c r="K11" s="199">
        <f>IF(K$2&lt;=$C$46,0,Sales!H5*K$3*(1+$C$45)^(K$2-$C$46-1))</f>
        <v>3094.3312153271104</v>
      </c>
      <c r="L11" s="199">
        <f>IF(L$2&lt;=$C$46,0,Sales!I5*L$3*(1+$C$45)^(L$2-$C$46-1))</f>
        <v>3272.3790334570317</v>
      </c>
      <c r="M11" s="199">
        <f>IF(M$2&lt;=$C$46,0,Sales!J5*M$3*(1+$C$45)^(M$2-$C$46-1))</f>
        <v>3460.6717230421491</v>
      </c>
      <c r="N11" s="199">
        <f>IF(N$2&lt;=$C$46,0,Sales!K5*N$3*(1+$C$45)^(N$2-$C$46-1))</f>
        <v>3659.7987739859932</v>
      </c>
      <c r="O11" s="199">
        <f>IF(O$2&lt;=$C$46,0,Sales!L5*O$3*(1+$C$45)^(O$2-$C$46-1))</f>
        <v>3870.3835954411475</v>
      </c>
      <c r="P11" s="199">
        <f>IF(P$2&lt;=$C$46,0,Sales!M5*P$3*(1+$C$45)^(P$2-$C$46-1))</f>
        <v>4093.0854675228293</v>
      </c>
      <c r="Q11" s="199">
        <f>IF(Q$2&lt;=$C$46,0,Sales!N5*Q$3*(1+$C$45)^(Q$2-$C$46-1))</f>
        <v>4328.6016053240928</v>
      </c>
      <c r="R11" s="199">
        <f>IF(R$2&lt;=$C$46,0,Sales!O5*R$3*(1+$C$45)^(R$2-$C$46-1))</f>
        <v>4577.6693416944408</v>
      </c>
      <c r="S11" s="199">
        <f>IF(S$2&lt;=$C$46,0,Sales!P5*S$3*(1+$C$45)^(S$2-$C$46-1))</f>
        <v>4841.0684356155389</v>
      </c>
      <c r="T11" s="199">
        <f>IF(T$2&lt;=$C$46,0,Sales!Q5*T$3*(1+$C$45)^(T$2-$C$46-1))</f>
        <v>5119.6235134008557</v>
      </c>
      <c r="U11" s="199">
        <f>IF(U$2&lt;=$C$46,0,Sales!R5*U$3*(1+$C$45)^(U$2-$C$46-1))</f>
        <v>5414.2066503619417</v>
      </c>
      <c r="V11" s="199">
        <f>IF(V$2&lt;=$C$46,0,Sales!S5*V$3*(1+$C$45)^(V$2-$C$46-1))</f>
        <v>5725.7401010237663</v>
      </c>
      <c r="W11" s="199">
        <f>IF(W$2&lt;=$C$46,0,Sales!T5*W$3*(1+$C$45)^(W$2-$C$46-1))</f>
        <v>6055.1991864366746</v>
      </c>
      <c r="X11" s="199">
        <f>IF(X$2&lt;=$C$46,0,Sales!U5*X$3*(1+$C$45)^(X$2-$C$46-1))</f>
        <v>6403.615347624238</v>
      </c>
      <c r="Y11" s="199">
        <f>IF(Y$2&lt;=$C$46,0,Sales!V5*Y$3*(1+$C$45)^(Y$2-$C$46-1))</f>
        <v>6772.0793747265361</v>
      </c>
      <c r="Z11" s="199">
        <f>IF(Z$2&lt;=$C$46,0,Sales!W5*Z$3*(1+$C$45)^(Z$2-$C$46-1))</f>
        <v>7161.7448219482994</v>
      </c>
    </row>
    <row r="12" spans="1:26">
      <c r="A12" s="52"/>
      <c r="B12" s="200"/>
      <c r="C12" s="200"/>
      <c r="D12" s="200"/>
      <c r="E12" s="200"/>
      <c r="F12" s="200"/>
      <c r="G12" s="201"/>
      <c r="H12" s="202"/>
      <c r="I12" s="202"/>
      <c r="J12" s="202"/>
      <c r="K12" s="202"/>
      <c r="L12" s="202"/>
      <c r="M12" s="202"/>
      <c r="N12" s="202"/>
      <c r="O12" s="202"/>
      <c r="P12" s="202"/>
      <c r="Q12" s="202"/>
      <c r="R12" s="202"/>
      <c r="S12" s="202"/>
      <c r="T12" s="202"/>
      <c r="U12" s="202"/>
      <c r="V12" s="202"/>
      <c r="W12" s="202"/>
      <c r="X12" s="202"/>
      <c r="Y12" s="202"/>
      <c r="Z12" s="202"/>
    </row>
    <row r="13" spans="1:26">
      <c r="A13" s="194">
        <v>3</v>
      </c>
      <c r="B13" s="195" t="s">
        <v>107</v>
      </c>
      <c r="C13" s="195"/>
      <c r="D13" s="195"/>
      <c r="E13" s="195"/>
      <c r="F13" s="195"/>
      <c r="G13" s="207"/>
      <c r="H13" s="183"/>
      <c r="I13" s="183"/>
      <c r="J13" s="183"/>
      <c r="K13" s="183"/>
      <c r="L13" s="183"/>
      <c r="M13" s="183"/>
      <c r="N13" s="183"/>
      <c r="O13" s="183"/>
      <c r="P13" s="183"/>
      <c r="Q13" s="183"/>
      <c r="R13" s="186"/>
      <c r="S13" s="186"/>
      <c r="T13" s="186"/>
      <c r="U13" s="186"/>
      <c r="V13" s="186"/>
      <c r="W13" s="186"/>
      <c r="X13" s="186"/>
      <c r="Y13" s="186"/>
      <c r="Z13" s="186"/>
    </row>
    <row r="14" spans="1:26">
      <c r="A14" s="52"/>
      <c r="B14" s="17" t="s">
        <v>28</v>
      </c>
      <c r="C14" s="17"/>
      <c r="D14" s="17"/>
      <c r="E14" s="17"/>
      <c r="F14" s="263"/>
      <c r="G14" s="208">
        <f t="shared" ref="G14:G19" si="1">J14/$J$20</f>
        <v>0.64472512854162922</v>
      </c>
      <c r="H14" s="199">
        <f>IF(H$2&lt;=$C$46,0,'Opex PVC'!E84*J$3*(1+$C$45)^(H$2-$C$46-1))</f>
        <v>1614.9450000000002</v>
      </c>
      <c r="I14" s="199">
        <f>IF(I$2&lt;=$C$46,0,'Opex PVC'!F3*I$3*(1+$C$45)^(I$2-$C$46-1))</f>
        <v>734.05243671925689</v>
      </c>
      <c r="J14" s="199">
        <f>IF(J$2&lt;=$C$46,0,'Opex PVC'!G3*J$3*(1+$C$45)^(J$2-$C$46-1))</f>
        <v>865.44211359527367</v>
      </c>
      <c r="K14" s="199">
        <f>IF(K$2&lt;=$C$46,0,'Opex PVC'!H3*K$3*(1+$C$45)^(K$2-$C$46-1))</f>
        <v>917.68149773505479</v>
      </c>
      <c r="L14" s="199">
        <f>IF(L$2&lt;=$C$46,0,'Opex PVC'!I3*L$3*(1+$C$45)^(L$2-$C$46-1))</f>
        <v>970.5807888312429</v>
      </c>
      <c r="M14" s="199">
        <f>IF(M$2&lt;=$C$46,0,'Opex PVC'!J3*M$3*(1+$C$45)^(M$2-$C$46-1))</f>
        <v>1027.8479671146526</v>
      </c>
      <c r="N14" s="199">
        <f>IF(N$2&lt;=$C$46,0,'Opex PVC'!K3*N$3*(1+$C$45)^(N$2-$C$46-1))</f>
        <v>1088.171850380628</v>
      </c>
      <c r="O14" s="199">
        <f>IF(O$2&lt;=$C$46,0,'Opex PVC'!L3*O$3*(1+$C$45)^(O$2-$C$46-1))</f>
        <v>1152.4909680270009</v>
      </c>
      <c r="P14" s="199">
        <f>IF(P$2&lt;=$C$46,0,'Opex PVC'!M3*P$3*(1+$C$45)^(P$2-$C$46-1))</f>
        <v>1222.4183575120389</v>
      </c>
      <c r="Q14" s="199">
        <f>IF(Q$2&lt;=$C$46,0,'Opex PVC'!N3*Q$3*(1+$C$45)^(Q$2-$C$46-1))</f>
        <v>1290.7124263095213</v>
      </c>
      <c r="R14" s="199">
        <f>IF(R$2&lt;=$C$46,0,'Opex PVC'!O3*R$3*(1+$C$45)^(R$2-$C$46-1))</f>
        <v>1363.9009837309763</v>
      </c>
      <c r="S14" s="199">
        <f>IF(S$2&lt;=$C$46,0,'Opex PVC'!P3*S$3*(1+$C$45)^(S$2-$C$46-1))</f>
        <v>1441.6672080708572</v>
      </c>
      <c r="T14" s="199">
        <f>IF(T$2&lt;=$C$46,0,'Opex PVC'!Q3*T$3*(1+$C$45)^(T$2-$C$46-1))</f>
        <v>1522.360925874603</v>
      </c>
      <c r="U14" s="199">
        <f>IF(U$2&lt;=$C$46,0,'Opex PVC'!R3*U$3*(1+$C$45)^(U$2-$C$46-1))</f>
        <v>1607.2530993646114</v>
      </c>
      <c r="V14" s="199">
        <f>IF(V$2&lt;=$C$46,0,'Opex PVC'!S3*V$3*(1+$C$45)^(V$2-$C$46-1))</f>
        <v>1696.7111996221461</v>
      </c>
      <c r="W14" s="199">
        <f>IF(W$2&lt;=$C$46,0,'Opex PVC'!T3*W$3*(1+$C$45)^(W$2-$C$46-1))</f>
        <v>1793.4534304466019</v>
      </c>
      <c r="X14" s="199">
        <f>IF(X$2&lt;=$C$46,0,'Opex PVC'!U3*X$3*(1+$C$45)^(X$2-$C$46-1))</f>
        <v>1896.2739090675354</v>
      </c>
      <c r="Y14" s="199">
        <f>IF(Y$2&lt;=$C$46,0,'Opex PVC'!V3*Y$3*(1+$C$45)^(Y$2-$C$46-1))</f>
        <v>2006.3763129127692</v>
      </c>
      <c r="Z14" s="199">
        <f>IF(Z$2&lt;=$C$46,0,'Opex PVC'!W3*Z$3*(1+$C$45)^(Z$2-$C$46-1))</f>
        <v>2120.7748743342727</v>
      </c>
    </row>
    <row r="15" spans="1:26">
      <c r="A15" s="52"/>
      <c r="B15" s="17" t="s">
        <v>325</v>
      </c>
      <c r="C15" s="17"/>
      <c r="D15" s="17"/>
      <c r="E15" s="17"/>
      <c r="F15" s="17"/>
      <c r="G15" s="208">
        <f t="shared" si="1"/>
        <v>8.6007910943514593E-2</v>
      </c>
      <c r="H15" s="199">
        <f>IF(H$2&lt;=$C$46,0,'Opex PVC'!E88*J$3*(1+$C$45)^(H$2-$C$46-1))</f>
        <v>155.41</v>
      </c>
      <c r="I15" s="199">
        <f>IF(I$2&lt;=$C$46,0,'Opex PVC'!F8*I$3*(1+$C$45)^(I$2-$C$46-1))</f>
        <v>97.895469375000005</v>
      </c>
      <c r="J15" s="199">
        <f>IF(J$2&lt;=$C$46,0,'Opex PVC'!G8*J$3*(1+$C$45)^(J$2-$C$46-1))</f>
        <v>115.45209723908435</v>
      </c>
      <c r="K15" s="199">
        <f>IF(K$2&lt;=$C$46,0,'Opex PVC'!H8*K$3*(1+$C$45)^(K$2-$C$46-1))</f>
        <v>122.37270002993542</v>
      </c>
      <c r="L15" s="199">
        <f>IF(L$2&lt;=$C$46,0,'Opex PVC'!I8*L$3*(1+$C$45)^(L$2-$C$46-1))</f>
        <v>129.66978413272042</v>
      </c>
      <c r="M15" s="199">
        <f>IF(M$2&lt;=$C$46,0,'Opex PVC'!J8*M$3*(1+$C$45)^(M$2-$C$46-1))</f>
        <v>137.32069040590332</v>
      </c>
      <c r="N15" s="199">
        <f>IF(N$2&lt;=$C$46,0,'Opex PVC'!K8*N$3*(1+$C$45)^(N$2-$C$46-1))</f>
        <v>145.42302310192281</v>
      </c>
      <c r="O15" s="199">
        <f>IF(O$2&lt;=$C$46,0,'Opex PVC'!L8*O$3*(1+$C$45)^(O$2-$C$46-1))</f>
        <v>154.00341773400555</v>
      </c>
      <c r="P15" s="199">
        <f>IF(P$2&lt;=$C$46,0,'Opex PVC'!M8*P$3*(1+$C$45)^(P$2-$C$46-1))</f>
        <v>163.09008139056505</v>
      </c>
      <c r="Q15" s="199">
        <f>IF(Q$2&lt;=$C$46,0,'Opex PVC'!N8*Q$3*(1+$C$45)^(Q$2-$C$46-1))</f>
        <v>172.71288546285257</v>
      </c>
      <c r="R15" s="199">
        <f>IF(R$2&lt;=$C$46,0,'Opex PVC'!O8*R$3*(1+$C$45)^(R$2-$C$46-1))</f>
        <v>182.90346384381721</v>
      </c>
      <c r="S15" s="199">
        <f>IF(S$2&lt;=$C$46,0,'Opex PVC'!P8*S$3*(1+$C$45)^(S$2-$C$46-1))</f>
        <v>193.69531692099395</v>
      </c>
      <c r="T15" s="199">
        <f>IF(T$2&lt;=$C$46,0,'Opex PVC'!Q8*T$3*(1+$C$45)^(T$2-$C$46-1))</f>
        <v>205.12392170528332</v>
      </c>
      <c r="U15" s="199">
        <f>IF(U$2&lt;=$C$46,0,'Opex PVC'!R8*U$3*(1+$C$45)^(U$2-$C$46-1))</f>
        <v>217.22684845766017</v>
      </c>
      <c r="V15" s="199">
        <f>IF(V$2&lt;=$C$46,0,'Opex PVC'!S8*V$3*(1+$C$45)^(V$2-$C$46-1))</f>
        <v>230.04388419720743</v>
      </c>
      <c r="W15" s="199">
        <f>IF(W$2&lt;=$C$46,0,'Opex PVC'!T8*W$3*(1+$C$45)^(W$2-$C$46-1))</f>
        <v>243.61716349649529</v>
      </c>
      <c r="X15" s="199">
        <f>IF(X$2&lt;=$C$46,0,'Opex PVC'!U8*X$3*(1+$C$45)^(X$2-$C$46-1))</f>
        <v>257.99130699427889</v>
      </c>
      <c r="Y15" s="199">
        <f>IF(Y$2&lt;=$C$46,0,'Opex PVC'!V8*Y$3*(1+$C$45)^(Y$2-$C$46-1))</f>
        <v>273.21356808086233</v>
      </c>
      <c r="Z15" s="199">
        <f>IF(Z$2&lt;=$C$46,0,'Opex PVC'!W8*Z$3*(1+$C$45)^(Z$2-$C$46-1))</f>
        <v>289.33398823833738</v>
      </c>
    </row>
    <row r="16" spans="1:26">
      <c r="A16" s="52"/>
      <c r="B16" s="17" t="s">
        <v>29</v>
      </c>
      <c r="C16" s="17"/>
      <c r="D16" s="17"/>
      <c r="E16" s="17"/>
      <c r="F16" s="17"/>
      <c r="G16" s="208">
        <f t="shared" si="1"/>
        <v>2.1891869537537623E-2</v>
      </c>
      <c r="H16" s="199">
        <f>IF(H$2&lt;=$C$46,0,'Opex PVC'!$E$89*(1+$C$45)^(H$2-$C$46-1))</f>
        <v>26.91</v>
      </c>
      <c r="I16" s="199">
        <f>IF(I$2&lt;=$C$46,0,'Opex PVC'!$E$9*(1+$C$45)^(I$2-$C$46-1))</f>
        <v>28.120949999999997</v>
      </c>
      <c r="J16" s="199">
        <f>IF(J$2&lt;=$C$46,0,'Opex PVC'!$E$9*(1+$C$45)^(J$2-$C$46-1))</f>
        <v>29.386392749999995</v>
      </c>
      <c r="K16" s="199">
        <f>IF(K$2&lt;=$C$46,0,'Opex PVC'!$E$9*(1+$C$45)^(K$2-$C$46-1))</f>
        <v>30.708780423749996</v>
      </c>
      <c r="L16" s="199">
        <f>IF(L$2&lt;=$C$46,0,'Opex PVC'!$E$9*(1+$C$45)^(L$2-$C$46-1))</f>
        <v>32.090675542818737</v>
      </c>
      <c r="M16" s="199">
        <f>IF(M$2&lt;=$C$46,0,'Opex PVC'!$E$9*(1+$C$45)^(M$2-$C$46-1))</f>
        <v>33.534755942245582</v>
      </c>
      <c r="N16" s="199">
        <f>IF(N$2&lt;=$C$46,0,'Opex PVC'!$E$9*(1+$C$45)^(N$2-$C$46-1))</f>
        <v>35.043819959646619</v>
      </c>
      <c r="O16" s="199">
        <f>IF(O$2&lt;=$C$46,0,'Opex PVC'!$E$9*(1+$C$45)^(O$2-$C$46-1))</f>
        <v>36.620791857830724</v>
      </c>
      <c r="P16" s="199">
        <f>IF(P$2&lt;=$C$46,0,'Opex PVC'!$E$9*(1+$C$45)^(P$2-$C$46-1))</f>
        <v>38.26872749143309</v>
      </c>
      <c r="Q16" s="199">
        <f>IF(Q$2&lt;=$C$46,0,'Opex PVC'!$E$9*(1+$C$45)^(Q$2-$C$46-1))</f>
        <v>39.990820228547577</v>
      </c>
      <c r="R16" s="199">
        <f>IF(R$2&lt;=$C$46,0,'Opex PVC'!$E$9*(1+$C$45)^(R$2-$C$46-1))</f>
        <v>41.790407138832215</v>
      </c>
      <c r="S16" s="199">
        <f>IF(S$2&lt;=$C$46,0,'Opex PVC'!$E$9*(1+$C$45)^(S$2-$C$46-1))</f>
        <v>43.67097546007966</v>
      </c>
      <c r="T16" s="199">
        <f>IF(T$2&lt;=$C$46,0,'Opex PVC'!$E$9*(1+$C$45)^(T$2-$C$46-1))</f>
        <v>45.636169355783238</v>
      </c>
      <c r="U16" s="199">
        <f>IF(U$2&lt;=$C$46,0,'Opex PVC'!$E$9*(1+$C$45)^(U$2-$C$46-1))</f>
        <v>47.689796976793488</v>
      </c>
      <c r="V16" s="199">
        <f>IF(V$2&lt;=$C$46,0,'Opex PVC'!$E$9*(1+$C$45)^(V$2-$C$46-1))</f>
        <v>49.835837840749178</v>
      </c>
      <c r="W16" s="199">
        <f>IF(W$2&lt;=$C$46,0,'Opex PVC'!$E$9*(1+$C$45)^(W$2-$C$46-1))</f>
        <v>52.078450543582896</v>
      </c>
      <c r="X16" s="199">
        <f>IF(X$2&lt;=$C$46,0,'Opex PVC'!$E$9*(1+$C$45)^(X$2-$C$46-1))</f>
        <v>54.421980818044105</v>
      </c>
      <c r="Y16" s="199">
        <f>IF(Y$2&lt;=$C$46,0,'Opex PVC'!$E$9*(1+$C$45)^(Y$2-$C$46-1))</f>
        <v>56.870969954856093</v>
      </c>
      <c r="Z16" s="199">
        <f>IF(Z$2&lt;=$C$46,0,'Opex PVC'!$E$9*(1+$C$45)^(Z$2-$C$46-1))</f>
        <v>59.430163602824607</v>
      </c>
    </row>
    <row r="17" spans="1:26">
      <c r="A17" s="52"/>
      <c r="B17" s="17" t="s">
        <v>17</v>
      </c>
      <c r="C17" s="17"/>
      <c r="D17" s="17"/>
      <c r="E17" s="17"/>
      <c r="F17" s="17"/>
      <c r="G17" s="208">
        <f t="shared" si="1"/>
        <v>0.12788561468974041</v>
      </c>
      <c r="H17" s="199">
        <f>IF(H$2&lt;=$C$46,0,'Opex PVC'!$E$91*(1+$C$45)^(H$2-$C$46-1))</f>
        <v>157.19999999999999</v>
      </c>
      <c r="I17" s="199">
        <f>IF(I$2&lt;=$C$46,0,'Opex PVC'!$E$11*(1+$C$45)^(I$2-$C$46-1))</f>
        <v>164.27399999999997</v>
      </c>
      <c r="J17" s="199">
        <f>IF(J$2&lt;=$C$46,0,'Opex PVC'!$E$11*(1+$C$45)^(J$2-$C$46-1))</f>
        <v>171.66632999999996</v>
      </c>
      <c r="K17" s="199">
        <f>IF(K$2&lt;=$C$46,0,'Opex PVC'!$E$11*(1+$C$45)^(K$2-$C$46-1))</f>
        <v>179.39131484999996</v>
      </c>
      <c r="L17" s="199">
        <f>IF(L$2&lt;=$C$46,0,'Opex PVC'!$E$11*(1+$C$45)^(L$2-$C$46-1))</f>
        <v>187.46392401824991</v>
      </c>
      <c r="M17" s="199">
        <f>IF(M$2&lt;=$C$46,0,'Opex PVC'!$E$11*(1+$C$45)^(M$2-$C$46-1))</f>
        <v>195.89980059907114</v>
      </c>
      <c r="N17" s="199">
        <f>IF(N$2&lt;=$C$46,0,'Opex PVC'!$E$11*(1+$C$45)^(N$2-$C$46-1))</f>
        <v>204.71529162602931</v>
      </c>
      <c r="O17" s="199">
        <f>IF(O$2&lt;=$C$46,0,'Opex PVC'!$E$11*(1+$C$45)^(O$2-$C$46-1))</f>
        <v>213.92747974920064</v>
      </c>
      <c r="P17" s="199">
        <f>IF(P$2&lt;=$C$46,0,'Opex PVC'!$E$11*(1+$C$45)^(P$2-$C$46-1))</f>
        <v>223.5542163379146</v>
      </c>
      <c r="Q17" s="199">
        <f>IF(Q$2&lt;=$C$46,0,'Opex PVC'!$E$11*(1+$C$45)^(Q$2-$C$46-1))</f>
        <v>233.61415607312074</v>
      </c>
      <c r="R17" s="199">
        <f>IF(R$2&lt;=$C$46,0,'Opex PVC'!$E$11*(1+$C$45)^(R$2-$C$46-1))</f>
        <v>244.12679309641112</v>
      </c>
      <c r="S17" s="199">
        <f>IF(S$2&lt;=$C$46,0,'Opex PVC'!$E$11*(1+$C$45)^(S$2-$C$46-1))</f>
        <v>255.11249878574964</v>
      </c>
      <c r="T17" s="199">
        <f>IF(T$2&lt;=$C$46,0,'Opex PVC'!$E$11*(1+$C$45)^(T$2-$C$46-1))</f>
        <v>266.59256123110828</v>
      </c>
      <c r="U17" s="199">
        <f>IF(U$2&lt;=$C$46,0,'Opex PVC'!$E$11*(1+$C$45)^(U$2-$C$46-1))</f>
        <v>278.58922648650821</v>
      </c>
      <c r="V17" s="199">
        <f>IF(V$2&lt;=$C$46,0,'Opex PVC'!$E$11*(1+$C$45)^(V$2-$C$46-1))</f>
        <v>291.12574167840097</v>
      </c>
      <c r="W17" s="199">
        <f>IF(W$2&lt;=$C$46,0,'Opex PVC'!$E$11*(1+$C$45)^(W$2-$C$46-1))</f>
        <v>304.22640005392907</v>
      </c>
      <c r="X17" s="199">
        <f>IF(X$2&lt;=$C$46,0,'Opex PVC'!$E$11*(1+$C$45)^(X$2-$C$46-1))</f>
        <v>317.91658805635575</v>
      </c>
      <c r="Y17" s="199">
        <f>IF(Y$2&lt;=$C$46,0,'Opex PVC'!$E$11*(1+$C$45)^(Y$2-$C$46-1))</f>
        <v>332.22283451889177</v>
      </c>
      <c r="Z17" s="199">
        <f>IF(Z$2&lt;=$C$46,0,'Opex PVC'!$E$11*(1+$C$45)^(Z$2-$C$46-1))</f>
        <v>347.1728620722418</v>
      </c>
    </row>
    <row r="18" spans="1:26" s="167" customFormat="1">
      <c r="A18" s="52"/>
      <c r="B18" s="17" t="s">
        <v>20</v>
      </c>
      <c r="C18" s="17"/>
      <c r="D18" s="17"/>
      <c r="E18" s="17"/>
      <c r="F18" s="17"/>
      <c r="G18" s="208">
        <f t="shared" si="1"/>
        <v>5.62057093567052E-2</v>
      </c>
      <c r="H18" s="199">
        <f>IF(H$2&lt;=$C$46,0,'Opex PVC'!$E$94*(1+$C$45)^(H$2-$C$46-1))</f>
        <v>69.089377505903997</v>
      </c>
      <c r="I18" s="199">
        <f>IF(I$2&lt;=$C$46,0,'Opex PVC'!$E$14*(1+$C$45)^(I$2-$C$46-1))</f>
        <v>72.198399493669669</v>
      </c>
      <c r="J18" s="199">
        <f>IF(J$2&lt;=$C$46,0,'Opex PVC'!$E$14*(1+$C$45)^(J$2-$C$46-1))</f>
        <v>75.447327470884801</v>
      </c>
      <c r="K18" s="199">
        <f>IF(K$2&lt;=$C$46,0,'Opex PVC'!$E$14*(1+$C$45)^(K$2-$C$46-1))</f>
        <v>78.842457207074617</v>
      </c>
      <c r="L18" s="199">
        <f>IF(L$2&lt;=$C$46,0,'Opex PVC'!$E$14*(1+$C$45)^(L$2-$C$46-1))</f>
        <v>82.390367781392953</v>
      </c>
      <c r="M18" s="199">
        <f>IF(M$2&lt;=$C$46,0,'Opex PVC'!$E$14*(1+$C$45)^(M$2-$C$46-1))</f>
        <v>86.097934331555635</v>
      </c>
      <c r="N18" s="199">
        <f>IF(N$2&lt;=$C$46,0,'Opex PVC'!$E$14*(1+$C$45)^(N$2-$C$46-1))</f>
        <v>89.972341376475612</v>
      </c>
      <c r="O18" s="199">
        <f>IF(O$2&lt;=$C$46,0,'Opex PVC'!$E$14*(1+$C$45)^(O$2-$C$46-1))</f>
        <v>94.021096738417029</v>
      </c>
      <c r="P18" s="199">
        <f>IF(P$2&lt;=$C$46,0,'Opex PVC'!$E$14*(1+$C$45)^(P$2-$C$46-1))</f>
        <v>98.252046091645767</v>
      </c>
      <c r="Q18" s="199">
        <f>IF(Q$2&lt;=$C$46,0,'Opex PVC'!$E$14*(1+$C$45)^(Q$2-$C$46-1))</f>
        <v>102.67338816576981</v>
      </c>
      <c r="R18" s="199">
        <f>IF(R$2&lt;=$C$46,0,'Opex PVC'!$E$14*(1+$C$45)^(R$2-$C$46-1))</f>
        <v>107.29369063322943</v>
      </c>
      <c r="S18" s="199">
        <f>IF(S$2&lt;=$C$46,0,'Opex PVC'!$E$14*(1+$C$45)^(S$2-$C$46-1))</f>
        <v>112.12190671172476</v>
      </c>
      <c r="T18" s="199">
        <f>IF(T$2&lt;=$C$46,0,'Opex PVC'!$E$14*(1+$C$45)^(T$2-$C$46-1))</f>
        <v>117.16739251375235</v>
      </c>
      <c r="U18" s="199">
        <f>IF(U$2&lt;=$C$46,0,'Opex PVC'!$E$14*(1+$C$45)^(U$2-$C$46-1))</f>
        <v>122.43992517687121</v>
      </c>
      <c r="V18" s="199">
        <f>IF(V$2&lt;=$C$46,0,'Opex PVC'!$E$14*(1+$C$45)^(V$2-$C$46-1))</f>
        <v>127.94972180983038</v>
      </c>
      <c r="W18" s="199">
        <f>IF(W$2&lt;=$C$46,0,'Opex PVC'!$E$14*(1+$C$45)^(W$2-$C$46-1))</f>
        <v>133.70745929127276</v>
      </c>
      <c r="X18" s="199">
        <f>IF(X$2&lt;=$C$46,0,'Opex PVC'!$E$14*(1+$C$45)^(X$2-$C$46-1))</f>
        <v>139.72429495937999</v>
      </c>
      <c r="Y18" s="199">
        <f>IF(Y$2&lt;=$C$46,0,'Opex PVC'!$E$14*(1+$C$45)^(Y$2-$C$46-1))</f>
        <v>146.01188823255208</v>
      </c>
      <c r="Z18" s="199">
        <f>IF(Z$2&lt;=$C$46,0,'Opex PVC'!$E$14*(1+$C$45)^(Z$2-$C$46-1))</f>
        <v>152.5824232030169</v>
      </c>
    </row>
    <row r="19" spans="1:26">
      <c r="A19" s="52"/>
      <c r="B19" s="17" t="s">
        <v>21</v>
      </c>
      <c r="C19" s="17"/>
      <c r="D19" s="17"/>
      <c r="E19" s="17"/>
      <c r="F19" s="17"/>
      <c r="G19" s="208">
        <f t="shared" si="1"/>
        <v>6.3283766930873009E-2</v>
      </c>
      <c r="H19" s="199">
        <f>IF(H$2&lt;=$C$46,0,'Opex PVC'!$E$97*(1+$C$45)^(H$2-$C$46-1))</f>
        <v>123.79020212092189</v>
      </c>
      <c r="I19" s="199">
        <f>IF(I$2&lt;=$C$46,0,'Opex PVC'!$E$17*(1+$C$45)^(I$2-$C$46-1))</f>
        <v>81.29043719282555</v>
      </c>
      <c r="J19" s="199">
        <f>IF(J$2&lt;=$C$46,0,'Opex PVC'!$E$17*(1+$C$45)^(J$2-$C$46-1))</f>
        <v>84.948506866502697</v>
      </c>
      <c r="K19" s="199">
        <f>IF(K$2&lt;=$C$46,0,'Opex PVC'!$E$17*(1+$C$45)^(K$2-$C$46-1))</f>
        <v>88.771189675495322</v>
      </c>
      <c r="L19" s="199">
        <f>IF(L$2&lt;=$C$46,0,'Opex PVC'!$E$17*(1+$C$45)^(L$2-$C$46-1))</f>
        <v>92.765893210892585</v>
      </c>
      <c r="M19" s="199">
        <f>IF(M$2&lt;=$C$46,0,'Opex PVC'!$E$17*(1+$C$45)^(M$2-$C$46-1))</f>
        <v>96.940358405382753</v>
      </c>
      <c r="N19" s="199">
        <f>IF(N$2&lt;=$C$46,0,'Opex PVC'!$E$17*(1+$C$45)^(N$2-$C$46-1))</f>
        <v>101.30267453362495</v>
      </c>
      <c r="O19" s="199">
        <f>IF(O$2&lt;=$C$46,0,'Opex PVC'!$E$17*(1+$C$45)^(O$2-$C$46-1))</f>
        <v>105.86129488763808</v>
      </c>
      <c r="P19" s="199">
        <f>IF(P$2&lt;=$C$46,0,'Opex PVC'!$E$17*(1+$C$45)^(P$2-$C$46-1))</f>
        <v>110.62505315758176</v>
      </c>
      <c r="Q19" s="199">
        <f>IF(Q$2&lt;=$C$46,0,'Opex PVC'!$E$17*(1+$C$45)^(Q$2-$C$46-1))</f>
        <v>115.60318054967293</v>
      </c>
      <c r="R19" s="199">
        <f>IF(R$2&lt;=$C$46,0,'Opex PVC'!$E$17*(1+$C$45)^(R$2-$C$46-1))</f>
        <v>120.80532367440819</v>
      </c>
      <c r="S19" s="199">
        <f>IF(S$2&lt;=$C$46,0,'Opex PVC'!$E$17*(1+$C$45)^(S$2-$C$46-1))</f>
        <v>126.24156323975656</v>
      </c>
      <c r="T19" s="199">
        <f>IF(T$2&lt;=$C$46,0,'Opex PVC'!$E$17*(1+$C$45)^(T$2-$C$46-1))</f>
        <v>131.92243358554558</v>
      </c>
      <c r="U19" s="199">
        <f>IF(U$2&lt;=$C$46,0,'Opex PVC'!$E$17*(1+$C$45)^(U$2-$C$46-1))</f>
        <v>137.85894309689513</v>
      </c>
      <c r="V19" s="199">
        <f>IF(V$2&lt;=$C$46,0,'Opex PVC'!$E$17*(1+$C$45)^(V$2-$C$46-1))</f>
        <v>144.06259553625537</v>
      </c>
      <c r="W19" s="199">
        <f>IF(W$2&lt;=$C$46,0,'Opex PVC'!$E$17*(1+$C$45)^(W$2-$C$46-1))</f>
        <v>150.54541233538689</v>
      </c>
      <c r="X19" s="199">
        <f>IF(X$2&lt;=$C$46,0,'Opex PVC'!$E$17*(1+$C$45)^(X$2-$C$46-1))</f>
        <v>157.31995589047924</v>
      </c>
      <c r="Y19" s="199">
        <f>IF(Y$2&lt;=$C$46,0,'Opex PVC'!$E$17*(1+$C$45)^(Y$2-$C$46-1))</f>
        <v>164.39935390555081</v>
      </c>
      <c r="Z19" s="199">
        <f>IF(Z$2&lt;=$C$46,0,'Opex PVC'!$E$17*(1+$C$45)^(Z$2-$C$46-1))</f>
        <v>171.79732483130056</v>
      </c>
    </row>
    <row r="20" spans="1:26" s="167" customFormat="1">
      <c r="A20" s="187"/>
      <c r="B20" s="209" t="s">
        <v>30</v>
      </c>
      <c r="C20" s="209"/>
      <c r="D20" s="209"/>
      <c r="E20" s="209"/>
      <c r="F20" s="209"/>
      <c r="G20" s="210"/>
      <c r="H20" s="192">
        <f t="shared" ref="H20:Q20" si="2">SUM(H14:H19)</f>
        <v>2147.3445796268261</v>
      </c>
      <c r="I20" s="192">
        <f t="shared" si="2"/>
        <v>1177.8316927807521</v>
      </c>
      <c r="J20" s="192">
        <f t="shared" si="2"/>
        <v>1342.3427679217455</v>
      </c>
      <c r="K20" s="192">
        <f t="shared" si="2"/>
        <v>1417.76793992131</v>
      </c>
      <c r="L20" s="192">
        <f t="shared" si="2"/>
        <v>1494.9614335173173</v>
      </c>
      <c r="M20" s="192">
        <f t="shared" si="2"/>
        <v>1577.6415067988112</v>
      </c>
      <c r="N20" s="192">
        <f t="shared" si="2"/>
        <v>1664.6290009783274</v>
      </c>
      <c r="O20" s="192">
        <f t="shared" si="2"/>
        <v>1756.925048994093</v>
      </c>
      <c r="P20" s="192">
        <f t="shared" si="2"/>
        <v>1856.2084819811791</v>
      </c>
      <c r="Q20" s="192">
        <f t="shared" si="2"/>
        <v>1955.306856789485</v>
      </c>
      <c r="R20" s="192">
        <f t="shared" ref="R20:Z20" si="3">SUM(R14:R19)</f>
        <v>2060.8206621176746</v>
      </c>
      <c r="S20" s="192">
        <f t="shared" si="3"/>
        <v>2172.5094691891618</v>
      </c>
      <c r="T20" s="192">
        <f t="shared" si="3"/>
        <v>2288.8034042660756</v>
      </c>
      <c r="U20" s="192">
        <f t="shared" si="3"/>
        <v>2411.0578395593398</v>
      </c>
      <c r="V20" s="192">
        <f t="shared" si="3"/>
        <v>2539.7289806845893</v>
      </c>
      <c r="W20" s="192">
        <f t="shared" si="3"/>
        <v>2677.6283161672686</v>
      </c>
      <c r="X20" s="192">
        <f t="shared" si="3"/>
        <v>2823.6480357860742</v>
      </c>
      <c r="Y20" s="192">
        <f t="shared" si="3"/>
        <v>2979.0949276054826</v>
      </c>
      <c r="Z20" s="192">
        <f t="shared" si="3"/>
        <v>3141.0916362819939</v>
      </c>
    </row>
    <row r="21" spans="1:26">
      <c r="A21" s="52"/>
      <c r="B21" s="17"/>
      <c r="C21" s="17"/>
      <c r="D21" s="17"/>
      <c r="E21" s="17"/>
      <c r="F21" s="17"/>
      <c r="G21" s="201"/>
      <c r="H21" s="199"/>
      <c r="I21" s="199"/>
      <c r="J21" s="199"/>
      <c r="K21" s="199"/>
      <c r="L21" s="199"/>
      <c r="M21" s="199"/>
      <c r="N21" s="199"/>
      <c r="O21" s="199"/>
      <c r="P21" s="199"/>
      <c r="Q21" s="199"/>
    </row>
    <row r="22" spans="1:26">
      <c r="A22" s="203">
        <v>4</v>
      </c>
      <c r="B22" s="204" t="s">
        <v>392</v>
      </c>
      <c r="C22" s="204"/>
      <c r="D22" s="204"/>
      <c r="E22" s="204"/>
      <c r="F22" s="204"/>
      <c r="G22" s="205"/>
      <c r="H22" s="206">
        <f t="shared" ref="H22:Z22" si="4">H10-H20</f>
        <v>1695.2914203731743</v>
      </c>
      <c r="I22" s="206">
        <f t="shared" si="4"/>
        <v>1312.2620788289225</v>
      </c>
      <c r="J22" s="206">
        <f t="shared" si="4"/>
        <v>1583.6280845539156</v>
      </c>
      <c r="K22" s="206">
        <f t="shared" si="4"/>
        <v>1676.5632754058004</v>
      </c>
      <c r="L22" s="206">
        <f t="shared" si="4"/>
        <v>1777.4175999397144</v>
      </c>
      <c r="M22" s="206">
        <f t="shared" si="4"/>
        <v>1883.0302162433379</v>
      </c>
      <c r="N22" s="206">
        <f t="shared" si="4"/>
        <v>1995.1697730076658</v>
      </c>
      <c r="O22" s="206">
        <f t="shared" si="4"/>
        <v>2113.4585464470547</v>
      </c>
      <c r="P22" s="206">
        <f t="shared" si="4"/>
        <v>2236.8769855416504</v>
      </c>
      <c r="Q22" s="206">
        <f t="shared" si="4"/>
        <v>2373.2947485346076</v>
      </c>
      <c r="R22" s="206">
        <f t="shared" si="4"/>
        <v>2516.8486795767662</v>
      </c>
      <c r="S22" s="206">
        <f t="shared" si="4"/>
        <v>2668.5589664263771</v>
      </c>
      <c r="T22" s="206">
        <f t="shared" si="4"/>
        <v>2830.8201091347801</v>
      </c>
      <c r="U22" s="206">
        <f t="shared" si="4"/>
        <v>3003.1488108026019</v>
      </c>
      <c r="V22" s="206">
        <f t="shared" si="4"/>
        <v>3186.0111203391771</v>
      </c>
      <c r="W22" s="206">
        <f t="shared" si="4"/>
        <v>3377.570870269406</v>
      </c>
      <c r="X22" s="206">
        <f t="shared" si="4"/>
        <v>3579.9673118381638</v>
      </c>
      <c r="Y22" s="206">
        <f t="shared" si="4"/>
        <v>3792.9844471210536</v>
      </c>
      <c r="Z22" s="206">
        <f t="shared" si="4"/>
        <v>4020.6531856663055</v>
      </c>
    </row>
    <row r="23" spans="1:26">
      <c r="A23" s="52"/>
      <c r="B23" s="17" t="s">
        <v>388</v>
      </c>
      <c r="C23" s="17"/>
      <c r="D23" s="17"/>
      <c r="E23" s="17"/>
      <c r="F23" s="17"/>
      <c r="G23" s="201"/>
      <c r="H23" s="262">
        <f t="shared" ref="H23:Z23" si="5">H22/H10</f>
        <v>0.44117928952239405</v>
      </c>
      <c r="I23" s="262">
        <f t="shared" si="5"/>
        <v>0.52699303688496646</v>
      </c>
      <c r="J23" s="262">
        <f t="shared" si="5"/>
        <v>0.54123166784590815</v>
      </c>
      <c r="K23" s="262">
        <f t="shared" si="5"/>
        <v>0.54181765258395786</v>
      </c>
      <c r="L23" s="262">
        <f t="shared" si="5"/>
        <v>0.54315761767425863</v>
      </c>
      <c r="M23" s="262">
        <f t="shared" si="5"/>
        <v>0.54412275042026681</v>
      </c>
      <c r="N23" s="262">
        <f t="shared" si="5"/>
        <v>0.5451583259684708</v>
      </c>
      <c r="O23" s="262">
        <f t="shared" si="5"/>
        <v>0.54605919396115099</v>
      </c>
      <c r="P23" s="262">
        <f t="shared" si="5"/>
        <v>0.54650141153671727</v>
      </c>
      <c r="Q23" s="262">
        <f t="shared" si="5"/>
        <v>0.54828209313961873</v>
      </c>
      <c r="R23" s="262">
        <f t="shared" si="5"/>
        <v>0.54981006527770426</v>
      </c>
      <c r="S23" s="262">
        <f t="shared" si="5"/>
        <v>0.55123347292384872</v>
      </c>
      <c r="T23" s="262">
        <f t="shared" si="5"/>
        <v>0.55293521129531797</v>
      </c>
      <c r="U23" s="262">
        <f t="shared" si="5"/>
        <v>0.55467938420892016</v>
      </c>
      <c r="V23" s="262">
        <f t="shared" si="5"/>
        <v>0.55643655913923096</v>
      </c>
      <c r="W23" s="262">
        <f t="shared" si="5"/>
        <v>0.55779682323828184</v>
      </c>
      <c r="X23" s="262">
        <f t="shared" si="5"/>
        <v>0.55905408390376587</v>
      </c>
      <c r="Y23" s="262">
        <f t="shared" si="5"/>
        <v>0.56009155197981098</v>
      </c>
      <c r="Z23" s="262">
        <f t="shared" si="5"/>
        <v>0.56140693163827593</v>
      </c>
    </row>
    <row r="24" spans="1:26">
      <c r="A24" s="52"/>
      <c r="B24" s="17" t="s">
        <v>387</v>
      </c>
      <c r="C24" s="17"/>
      <c r="D24" s="17"/>
      <c r="E24" s="17"/>
      <c r="F24" s="17"/>
      <c r="G24" s="201"/>
      <c r="H24" s="264">
        <f t="shared" ref="H24:Z24" si="6">H22/(H3*350000)*10^7</f>
        <v>69195.56817849692</v>
      </c>
      <c r="I24" s="264">
        <f t="shared" si="6"/>
        <v>41659.113613616588</v>
      </c>
      <c r="J24" s="264">
        <f t="shared" si="6"/>
        <v>45246.516701540444</v>
      </c>
      <c r="K24" s="264">
        <f t="shared" si="6"/>
        <v>47901.807868737153</v>
      </c>
      <c r="L24" s="264">
        <f t="shared" si="6"/>
        <v>50783.359998277549</v>
      </c>
      <c r="M24" s="264">
        <f t="shared" si="6"/>
        <v>53800.863321238226</v>
      </c>
      <c r="N24" s="264">
        <f t="shared" si="6"/>
        <v>57004.85065736188</v>
      </c>
      <c r="O24" s="264">
        <f t="shared" si="6"/>
        <v>60384.529898487279</v>
      </c>
      <c r="P24" s="264">
        <f t="shared" si="6"/>
        <v>63910.77101547573</v>
      </c>
      <c r="Q24" s="264">
        <f t="shared" si="6"/>
        <v>67808.421386703078</v>
      </c>
      <c r="R24" s="264">
        <f t="shared" si="6"/>
        <v>71909.962273621903</v>
      </c>
      <c r="S24" s="264">
        <f t="shared" si="6"/>
        <v>76244.541897896488</v>
      </c>
      <c r="T24" s="264">
        <f t="shared" si="6"/>
        <v>80880.574546707998</v>
      </c>
      <c r="U24" s="264">
        <f t="shared" si="6"/>
        <v>85804.251737217201</v>
      </c>
      <c r="V24" s="264">
        <f t="shared" si="6"/>
        <v>91028.889152547927</v>
      </c>
      <c r="W24" s="264">
        <f t="shared" si="6"/>
        <v>96502.024864840161</v>
      </c>
      <c r="X24" s="264">
        <f t="shared" si="6"/>
        <v>102284.78033823325</v>
      </c>
      <c r="Y24" s="264">
        <f t="shared" si="6"/>
        <v>108370.98420345868</v>
      </c>
      <c r="Z24" s="264">
        <f t="shared" si="6"/>
        <v>114875.80530475159</v>
      </c>
    </row>
    <row r="25" spans="1:26">
      <c r="A25" s="194"/>
      <c r="B25" s="195" t="s">
        <v>32</v>
      </c>
      <c r="C25" s="182">
        <f>-C8</f>
        <v>-207.97</v>
      </c>
      <c r="D25" s="182">
        <f>-D8</f>
        <v>-1039.8599999999999</v>
      </c>
      <c r="E25" s="182">
        <f>-E8</f>
        <v>-1455.81</v>
      </c>
      <c r="F25" s="182">
        <f>-F8</f>
        <v>-1455.81</v>
      </c>
      <c r="G25" s="196"/>
      <c r="H25" s="197">
        <f>H22+SUM(C25:F25)</f>
        <v>-2464.1585796268255</v>
      </c>
      <c r="I25" s="197">
        <f t="shared" ref="I25:Z25" si="7">I22</f>
        <v>1312.2620788289225</v>
      </c>
      <c r="J25" s="197">
        <f t="shared" si="7"/>
        <v>1583.6280845539156</v>
      </c>
      <c r="K25" s="197">
        <f t="shared" si="7"/>
        <v>1676.5632754058004</v>
      </c>
      <c r="L25" s="197">
        <f t="shared" si="7"/>
        <v>1777.4175999397144</v>
      </c>
      <c r="M25" s="197">
        <f t="shared" si="7"/>
        <v>1883.0302162433379</v>
      </c>
      <c r="N25" s="197">
        <f t="shared" si="7"/>
        <v>1995.1697730076658</v>
      </c>
      <c r="O25" s="197">
        <f t="shared" si="7"/>
        <v>2113.4585464470547</v>
      </c>
      <c r="P25" s="197">
        <f t="shared" si="7"/>
        <v>2236.8769855416504</v>
      </c>
      <c r="Q25" s="197">
        <f t="shared" si="7"/>
        <v>2373.2947485346076</v>
      </c>
      <c r="R25" s="197">
        <f t="shared" si="7"/>
        <v>2516.8486795767662</v>
      </c>
      <c r="S25" s="197">
        <f t="shared" si="7"/>
        <v>2668.5589664263771</v>
      </c>
      <c r="T25" s="197">
        <f t="shared" si="7"/>
        <v>2830.8201091347801</v>
      </c>
      <c r="U25" s="197">
        <f t="shared" si="7"/>
        <v>3003.1488108026019</v>
      </c>
      <c r="V25" s="197">
        <f t="shared" si="7"/>
        <v>3186.0111203391771</v>
      </c>
      <c r="W25" s="197">
        <f t="shared" si="7"/>
        <v>3377.570870269406</v>
      </c>
      <c r="X25" s="197">
        <f t="shared" si="7"/>
        <v>3579.9673118381638</v>
      </c>
      <c r="Y25" s="197">
        <f t="shared" si="7"/>
        <v>3792.9844471210536</v>
      </c>
      <c r="Z25" s="197">
        <f t="shared" si="7"/>
        <v>4020.6531856663055</v>
      </c>
    </row>
    <row r="26" spans="1:26">
      <c r="A26" s="52"/>
      <c r="B26" s="17"/>
      <c r="C26" s="17"/>
      <c r="D26" s="17"/>
      <c r="E26" s="17"/>
      <c r="F26" s="17"/>
      <c r="G26" s="201"/>
      <c r="H26" s="199"/>
      <c r="I26" s="199"/>
      <c r="J26" s="199"/>
      <c r="K26" s="199"/>
      <c r="L26" s="199"/>
      <c r="M26" s="199"/>
      <c r="N26" s="199"/>
      <c r="O26" s="199"/>
      <c r="P26" s="199"/>
      <c r="Q26" s="199"/>
      <c r="R26" s="199"/>
      <c r="S26" s="199"/>
      <c r="T26" s="199"/>
      <c r="U26" s="199"/>
      <c r="V26" s="199"/>
      <c r="W26" s="199"/>
      <c r="X26" s="199"/>
      <c r="Y26" s="199"/>
      <c r="Z26" s="199"/>
    </row>
    <row r="27" spans="1:26">
      <c r="A27" s="52"/>
      <c r="B27" s="17" t="s">
        <v>33</v>
      </c>
      <c r="C27" s="17"/>
      <c r="D27" s="17"/>
      <c r="E27" s="17"/>
      <c r="F27" s="17"/>
      <c r="G27" s="201">
        <v>1</v>
      </c>
      <c r="H27" s="199">
        <f>G27/(1+0.1)</f>
        <v>0.90909090909090906</v>
      </c>
      <c r="I27" s="199">
        <f>H27/(1+0.1)</f>
        <v>0.82644628099173545</v>
      </c>
      <c r="J27" s="199">
        <f t="shared" ref="J27:Z27" si="8">I27/(1+0.1)</f>
        <v>0.75131480090157765</v>
      </c>
      <c r="K27" s="199">
        <f t="shared" si="8"/>
        <v>0.68301345536507052</v>
      </c>
      <c r="L27" s="199">
        <f t="shared" si="8"/>
        <v>0.62092132305915493</v>
      </c>
      <c r="M27" s="199">
        <f t="shared" si="8"/>
        <v>0.56447393005377711</v>
      </c>
      <c r="N27" s="199">
        <f t="shared" si="8"/>
        <v>0.51315811823070645</v>
      </c>
      <c r="O27" s="199">
        <f t="shared" si="8"/>
        <v>0.46650738020973309</v>
      </c>
      <c r="P27" s="199">
        <f t="shared" si="8"/>
        <v>0.42409761837248461</v>
      </c>
      <c r="Q27" s="199">
        <f t="shared" si="8"/>
        <v>0.38554328942953142</v>
      </c>
      <c r="R27" s="199">
        <f t="shared" si="8"/>
        <v>0.35049389948139215</v>
      </c>
      <c r="S27" s="199">
        <f t="shared" si="8"/>
        <v>0.31863081771035645</v>
      </c>
      <c r="T27" s="199">
        <f t="shared" si="8"/>
        <v>0.28966437973668768</v>
      </c>
      <c r="U27" s="199">
        <f t="shared" si="8"/>
        <v>0.26333125430607968</v>
      </c>
      <c r="V27" s="199">
        <f t="shared" si="8"/>
        <v>0.23939204936916333</v>
      </c>
      <c r="W27" s="199">
        <f t="shared" si="8"/>
        <v>0.21762913579014848</v>
      </c>
      <c r="X27" s="199">
        <f t="shared" si="8"/>
        <v>0.19784466890013497</v>
      </c>
      <c r="Y27" s="199">
        <f t="shared" si="8"/>
        <v>0.17985878990921358</v>
      </c>
      <c r="Z27" s="199">
        <f t="shared" si="8"/>
        <v>0.16350799082655779</v>
      </c>
    </row>
    <row r="28" spans="1:26">
      <c r="A28" s="52"/>
      <c r="B28" s="17" t="s">
        <v>34</v>
      </c>
      <c r="C28" s="182"/>
      <c r="D28" s="182"/>
      <c r="E28" s="182"/>
      <c r="F28" s="182"/>
      <c r="G28" s="211"/>
      <c r="H28" s="202">
        <f>H25*H27</f>
        <v>-2240.1441632971141</v>
      </c>
      <c r="I28" s="202">
        <f t="shared" ref="I28:Z28" si="9">I25*I27</f>
        <v>1084.5141147346467</v>
      </c>
      <c r="J28" s="202">
        <f t="shared" si="9"/>
        <v>1189.803219048772</v>
      </c>
      <c r="K28" s="202">
        <f t="shared" si="9"/>
        <v>1145.1152758730962</v>
      </c>
      <c r="L28" s="202">
        <f t="shared" si="9"/>
        <v>1103.6364877831952</v>
      </c>
      <c r="M28" s="202">
        <f t="shared" si="9"/>
        <v>1062.9214665728907</v>
      </c>
      <c r="N28" s="202">
        <f t="shared" si="9"/>
        <v>1023.8375662673994</v>
      </c>
      <c r="O28" s="202">
        <f t="shared" si="9"/>
        <v>985.94400968488594</v>
      </c>
      <c r="P28" s="202">
        <f t="shared" si="9"/>
        <v>948.65420216043663</v>
      </c>
      <c r="Q28" s="202">
        <f t="shared" si="9"/>
        <v>915.00786413586525</v>
      </c>
      <c r="R28" s="202">
        <f t="shared" si="9"/>
        <v>882.14010810945365</v>
      </c>
      <c r="S28" s="202">
        <f t="shared" si="9"/>
        <v>850.28512558074021</v>
      </c>
      <c r="T28" s="202">
        <f t="shared" si="9"/>
        <v>819.98775105866855</v>
      </c>
      <c r="U28" s="202">
        <f t="shared" si="9"/>
        <v>790.82294321646077</v>
      </c>
      <c r="V28" s="202">
        <f t="shared" si="9"/>
        <v>762.70573141093962</v>
      </c>
      <c r="W28" s="202">
        <f t="shared" si="9"/>
        <v>735.05782956671055</v>
      </c>
      <c r="X28" s="202">
        <f t="shared" si="9"/>
        <v>708.27744748392774</v>
      </c>
      <c r="Y28" s="202">
        <f t="shared" si="9"/>
        <v>682.20159280366022</v>
      </c>
      <c r="Z28" s="202">
        <f t="shared" si="9"/>
        <v>657.40892419869658</v>
      </c>
    </row>
    <row r="29" spans="1:26">
      <c r="A29" s="52"/>
      <c r="B29" s="17" t="s">
        <v>35</v>
      </c>
      <c r="C29" s="17"/>
      <c r="D29" s="17"/>
      <c r="E29" s="17"/>
      <c r="F29" s="17"/>
      <c r="G29" s="211"/>
      <c r="H29" s="202">
        <f>H25</f>
        <v>-2464.1585796268255</v>
      </c>
      <c r="I29" s="202">
        <f t="shared" ref="I29:Z29" si="10">I25</f>
        <v>1312.2620788289225</v>
      </c>
      <c r="J29" s="202">
        <f t="shared" si="10"/>
        <v>1583.6280845539156</v>
      </c>
      <c r="K29" s="202">
        <f t="shared" si="10"/>
        <v>1676.5632754058004</v>
      </c>
      <c r="L29" s="202">
        <f t="shared" si="10"/>
        <v>1777.4175999397144</v>
      </c>
      <c r="M29" s="202">
        <f t="shared" si="10"/>
        <v>1883.0302162433379</v>
      </c>
      <c r="N29" s="202">
        <f t="shared" si="10"/>
        <v>1995.1697730076658</v>
      </c>
      <c r="O29" s="202">
        <f t="shared" si="10"/>
        <v>2113.4585464470547</v>
      </c>
      <c r="P29" s="202">
        <f t="shared" si="10"/>
        <v>2236.8769855416504</v>
      </c>
      <c r="Q29" s="202">
        <f t="shared" si="10"/>
        <v>2373.2947485346076</v>
      </c>
      <c r="R29" s="202">
        <f t="shared" si="10"/>
        <v>2516.8486795767662</v>
      </c>
      <c r="S29" s="202">
        <f t="shared" si="10"/>
        <v>2668.5589664263771</v>
      </c>
      <c r="T29" s="202">
        <f t="shared" si="10"/>
        <v>2830.8201091347801</v>
      </c>
      <c r="U29" s="202">
        <f t="shared" si="10"/>
        <v>3003.1488108026019</v>
      </c>
      <c r="V29" s="202">
        <f t="shared" si="10"/>
        <v>3186.0111203391771</v>
      </c>
      <c r="W29" s="202">
        <f t="shared" si="10"/>
        <v>3377.570870269406</v>
      </c>
      <c r="X29" s="202">
        <f t="shared" si="10"/>
        <v>3579.9673118381638</v>
      </c>
      <c r="Y29" s="202">
        <f t="shared" si="10"/>
        <v>3792.9844471210536</v>
      </c>
      <c r="Z29" s="202">
        <f t="shared" si="10"/>
        <v>4020.6531856663055</v>
      </c>
    </row>
    <row r="30" spans="1:26">
      <c r="A30" s="53"/>
      <c r="B30" s="55" t="s">
        <v>443</v>
      </c>
      <c r="C30" s="55"/>
      <c r="D30" s="55"/>
      <c r="E30" s="55"/>
      <c r="F30" s="55"/>
      <c r="G30" s="212"/>
      <c r="H30" s="213">
        <f>H25</f>
        <v>-2464.1585796268255</v>
      </c>
      <c r="I30" s="213">
        <f>H30+I25</f>
        <v>-1151.8965007979029</v>
      </c>
      <c r="J30" s="213">
        <f t="shared" ref="J30:Z30" si="11">I30+J25</f>
        <v>431.7315837560127</v>
      </c>
      <c r="K30" s="213">
        <f t="shared" si="11"/>
        <v>2108.2948591618133</v>
      </c>
      <c r="L30" s="213">
        <f t="shared" si="11"/>
        <v>3885.7124591015277</v>
      </c>
      <c r="M30" s="213">
        <f t="shared" si="11"/>
        <v>5768.7426753448653</v>
      </c>
      <c r="N30" s="213">
        <f t="shared" si="11"/>
        <v>7763.9124483525311</v>
      </c>
      <c r="O30" s="213">
        <f t="shared" si="11"/>
        <v>9877.3709947995849</v>
      </c>
      <c r="P30" s="213">
        <f t="shared" si="11"/>
        <v>12114.247980341235</v>
      </c>
      <c r="Q30" s="213">
        <f t="shared" si="11"/>
        <v>14487.542728875844</v>
      </c>
      <c r="R30" s="213">
        <f t="shared" si="11"/>
        <v>17004.391408452611</v>
      </c>
      <c r="S30" s="213">
        <f t="shared" si="11"/>
        <v>19672.950374878987</v>
      </c>
      <c r="T30" s="213">
        <f t="shared" si="11"/>
        <v>22503.770484013767</v>
      </c>
      <c r="U30" s="213">
        <f t="shared" si="11"/>
        <v>25506.919294816369</v>
      </c>
      <c r="V30" s="213">
        <f t="shared" si="11"/>
        <v>28692.930415155548</v>
      </c>
      <c r="W30" s="213">
        <f t="shared" si="11"/>
        <v>32070.501285424954</v>
      </c>
      <c r="X30" s="213">
        <f t="shared" si="11"/>
        <v>35650.46859726312</v>
      </c>
      <c r="Y30" s="213">
        <f t="shared" si="11"/>
        <v>39443.453044384172</v>
      </c>
      <c r="Z30" s="213">
        <f t="shared" si="11"/>
        <v>43464.106230050478</v>
      </c>
    </row>
    <row r="31" spans="1:26">
      <c r="A31" s="52"/>
      <c r="B31" s="17"/>
      <c r="C31" s="17"/>
      <c r="D31" s="17"/>
      <c r="E31" s="17"/>
      <c r="F31" s="17"/>
      <c r="G31" s="201"/>
      <c r="H31" s="202"/>
      <c r="I31" s="202"/>
      <c r="J31" s="202"/>
      <c r="K31" s="202"/>
      <c r="L31" s="202"/>
      <c r="M31" s="202"/>
      <c r="N31" s="202"/>
      <c r="O31" s="202"/>
      <c r="P31" s="202"/>
      <c r="Q31" s="202"/>
      <c r="R31" s="202"/>
      <c r="S31" s="202"/>
      <c r="T31" s="202"/>
      <c r="U31" s="202"/>
      <c r="V31" s="202"/>
      <c r="W31" s="202"/>
      <c r="X31" s="202"/>
      <c r="Y31" s="202"/>
      <c r="Z31" s="202"/>
    </row>
    <row r="32" spans="1:26">
      <c r="A32" s="52"/>
      <c r="B32" s="17"/>
      <c r="C32" s="17"/>
      <c r="D32" s="17"/>
      <c r="E32" s="17"/>
      <c r="F32" s="17"/>
      <c r="G32" s="201"/>
      <c r="H32" s="202"/>
      <c r="I32" s="202"/>
      <c r="J32" s="202"/>
      <c r="K32" s="202"/>
      <c r="L32" s="202"/>
      <c r="M32" s="202"/>
      <c r="N32" s="202"/>
      <c r="O32" s="202"/>
      <c r="P32" s="202"/>
      <c r="Q32" s="202"/>
      <c r="R32" s="202"/>
      <c r="S32" s="202"/>
      <c r="T32" s="202"/>
      <c r="U32" s="202"/>
      <c r="V32" s="202"/>
      <c r="W32" s="202"/>
      <c r="X32" s="202"/>
      <c r="Y32" s="202"/>
      <c r="Z32" s="202"/>
    </row>
    <row r="33" spans="1:27">
      <c r="A33" s="52"/>
      <c r="B33" s="214" t="s">
        <v>36</v>
      </c>
      <c r="C33" s="215"/>
      <c r="D33" s="215"/>
      <c r="E33" s="215"/>
      <c r="F33" s="215"/>
      <c r="G33" s="298">
        <f>NPV(0%,(H28:Z28))</f>
        <v>14108.177496393331</v>
      </c>
      <c r="H33" s="216"/>
      <c r="I33" s="199"/>
      <c r="J33" s="199"/>
      <c r="K33" s="199"/>
      <c r="L33" s="199"/>
      <c r="M33" s="199"/>
      <c r="N33" s="199"/>
      <c r="O33" s="199"/>
      <c r="P33" s="199"/>
      <c r="Q33" s="199"/>
      <c r="R33" s="199"/>
      <c r="S33" s="199"/>
      <c r="T33" s="199"/>
      <c r="U33" s="199"/>
      <c r="V33" s="199"/>
      <c r="W33" s="199"/>
      <c r="X33" s="199"/>
      <c r="Y33" s="199"/>
      <c r="Z33" s="199"/>
    </row>
    <row r="34" spans="1:27">
      <c r="A34" s="52"/>
      <c r="B34" s="217" t="s">
        <v>37</v>
      </c>
      <c r="C34" s="218"/>
      <c r="D34" s="218"/>
      <c r="E34" s="218"/>
      <c r="F34" s="218"/>
      <c r="G34" s="300">
        <f>IRR(C25:Z25,0.1)</f>
        <v>0.2141050709891521</v>
      </c>
      <c r="H34" s="219"/>
      <c r="I34" s="199"/>
      <c r="J34" s="199"/>
      <c r="K34" s="199"/>
      <c r="L34" s="199"/>
      <c r="M34" s="199"/>
      <c r="N34" s="199"/>
      <c r="O34" s="199"/>
      <c r="P34" s="199"/>
      <c r="Q34" s="199"/>
      <c r="R34" s="199"/>
      <c r="S34" s="199"/>
      <c r="T34" s="199"/>
      <c r="U34" s="199"/>
      <c r="V34" s="199"/>
      <c r="W34" s="199"/>
      <c r="X34" s="199"/>
      <c r="Y34" s="199"/>
      <c r="Z34" s="199"/>
    </row>
    <row r="35" spans="1:27">
      <c r="A35" s="52"/>
      <c r="B35" s="220" t="s">
        <v>396</v>
      </c>
      <c r="C35" s="221"/>
      <c r="D35" s="221"/>
      <c r="E35" s="221"/>
      <c r="F35" s="221"/>
      <c r="G35" s="299">
        <f>IF(SUM(H40:Z40)&lt;=25,SUM(H40:Z40)," N/A ")</f>
        <v>2.7273781717014542</v>
      </c>
      <c r="H35" s="222"/>
      <c r="I35" s="199"/>
      <c r="J35" s="199"/>
      <c r="K35" s="199"/>
      <c r="L35" s="199"/>
      <c r="M35" s="199"/>
      <c r="N35" s="199"/>
      <c r="O35" s="199"/>
      <c r="P35" s="199"/>
      <c r="Q35" s="199"/>
      <c r="R35" s="199"/>
      <c r="S35" s="199"/>
      <c r="T35" s="199"/>
      <c r="U35" s="199"/>
      <c r="V35" s="199"/>
      <c r="W35" s="199"/>
      <c r="X35" s="199"/>
      <c r="Y35" s="199"/>
      <c r="Z35" s="199"/>
    </row>
    <row r="36" spans="1:27" ht="16.5" customHeight="1">
      <c r="A36" s="52"/>
      <c r="B36" s="307" t="s">
        <v>397</v>
      </c>
      <c r="C36" s="308"/>
      <c r="D36" s="308"/>
      <c r="E36" s="308"/>
      <c r="F36" s="308"/>
      <c r="G36" s="309">
        <f>IF(SUM(H41:Z41)&lt;=25,SUM(H41:Z41)," N/A ")</f>
        <v>2.9681403465346357</v>
      </c>
      <c r="H36" s="310"/>
      <c r="I36" s="199"/>
      <c r="J36" s="199"/>
      <c r="K36" s="199"/>
      <c r="L36" s="199"/>
      <c r="M36" s="199"/>
      <c r="N36" s="199"/>
      <c r="O36" s="199"/>
      <c r="P36" s="199"/>
      <c r="Q36" s="199"/>
      <c r="R36" s="199"/>
      <c r="S36" s="199"/>
      <c r="T36" s="199"/>
      <c r="U36" s="199"/>
      <c r="V36" s="199"/>
      <c r="W36" s="199"/>
      <c r="X36" s="199"/>
      <c r="Y36" s="199"/>
      <c r="Z36" s="199"/>
    </row>
    <row r="37" spans="1:27" ht="19.5" customHeight="1">
      <c r="A37" s="286"/>
      <c r="H37" s="223">
        <v>1</v>
      </c>
      <c r="I37" s="301">
        <v>2</v>
      </c>
      <c r="J37" s="301">
        <v>3</v>
      </c>
      <c r="K37" s="301">
        <v>4</v>
      </c>
      <c r="L37" s="301">
        <v>5</v>
      </c>
      <c r="M37" s="301">
        <v>6</v>
      </c>
      <c r="N37" s="301">
        <v>7</v>
      </c>
      <c r="O37" s="301">
        <v>8</v>
      </c>
      <c r="P37" s="301">
        <v>9</v>
      </c>
      <c r="Q37" s="301">
        <v>10</v>
      </c>
      <c r="R37" s="301">
        <v>11</v>
      </c>
      <c r="S37" s="301">
        <v>12</v>
      </c>
      <c r="T37" s="301">
        <v>13</v>
      </c>
      <c r="U37" s="301">
        <v>14</v>
      </c>
      <c r="V37" s="301">
        <v>15</v>
      </c>
      <c r="W37" s="301">
        <v>16</v>
      </c>
      <c r="X37" s="301">
        <v>17</v>
      </c>
      <c r="Y37" s="301">
        <v>18</v>
      </c>
      <c r="Z37" s="302">
        <v>19</v>
      </c>
    </row>
    <row r="38" spans="1:27" ht="14.25" customHeight="1">
      <c r="A38" s="2"/>
      <c r="B38" s="303" t="s">
        <v>398</v>
      </c>
      <c r="H38" s="223">
        <f t="shared" ref="H38:Z38" si="12">IF(H30&lt;0,1,IF(H29=0,0,-G30/H29))</f>
        <v>1</v>
      </c>
      <c r="I38" s="223">
        <f t="shared" si="12"/>
        <v>1</v>
      </c>
      <c r="J38" s="223">
        <f t="shared" si="12"/>
        <v>0.72737817170145413</v>
      </c>
      <c r="K38" s="223">
        <f t="shared" si="12"/>
        <v>-0.25750986562169276</v>
      </c>
      <c r="L38" s="223">
        <f t="shared" si="12"/>
        <v>-1.1861561735595065</v>
      </c>
      <c r="M38" s="223">
        <f t="shared" si="12"/>
        <v>-2.0635422764768792</v>
      </c>
      <c r="N38" s="223">
        <f t="shared" si="12"/>
        <v>-2.8913542864317949</v>
      </c>
      <c r="O38" s="223">
        <f t="shared" si="12"/>
        <v>-3.6735579514462118</v>
      </c>
      <c r="P38" s="223">
        <f t="shared" si="12"/>
        <v>-4.415697000167321</v>
      </c>
      <c r="Q38" s="223">
        <f t="shared" si="12"/>
        <v>-5.1044009547575939</v>
      </c>
      <c r="R38" s="223">
        <f t="shared" si="12"/>
        <v>-5.7562231875267411</v>
      </c>
      <c r="S38" s="223">
        <f t="shared" si="12"/>
        <v>-6.3721250391645583</v>
      </c>
      <c r="T38" s="223">
        <f t="shared" si="12"/>
        <v>-6.9495586495928503</v>
      </c>
      <c r="U38" s="223">
        <f t="shared" si="12"/>
        <v>-7.493391737054667</v>
      </c>
      <c r="V38" s="223">
        <f t="shared" si="12"/>
        <v>-8.0059103158751519</v>
      </c>
      <c r="W38" s="223">
        <f t="shared" si="12"/>
        <v>-8.4951379311448481</v>
      </c>
      <c r="X38" s="223">
        <f t="shared" si="12"/>
        <v>-8.9583223789152679</v>
      </c>
      <c r="Y38" s="223">
        <f t="shared" si="12"/>
        <v>-9.3990547797585862</v>
      </c>
      <c r="Z38" s="306">
        <f t="shared" si="12"/>
        <v>-9.8102102377297129</v>
      </c>
    </row>
    <row r="39" spans="1:27">
      <c r="A39" s="63"/>
      <c r="B39" s="303" t="s">
        <v>399</v>
      </c>
      <c r="H39" s="223">
        <f>IF(H30&lt;0,1,IF(H28=0,0,-G30/H28))</f>
        <v>1</v>
      </c>
      <c r="I39" s="223">
        <f>IF(I30&lt;0,1,IF(I28=0,0,-H30/I28))</f>
        <v>1</v>
      </c>
      <c r="J39" s="223">
        <f t="shared" ref="J39:Z39" si="13">IF(J30&lt;0,1,IF(J28=0,0,-I30/J28))</f>
        <v>0.96814034653463543</v>
      </c>
      <c r="K39" s="223">
        <f t="shared" si="13"/>
        <v>-0.3770201942567204</v>
      </c>
      <c r="L39" s="223">
        <f t="shared" si="13"/>
        <v>-1.9103163790793214</v>
      </c>
      <c r="M39" s="223">
        <f t="shared" si="13"/>
        <v>-3.6556910188576586</v>
      </c>
      <c r="N39" s="223">
        <f t="shared" si="13"/>
        <v>-5.6344315401279399</v>
      </c>
      <c r="O39" s="223">
        <f t="shared" si="13"/>
        <v>-7.8745977176066289</v>
      </c>
      <c r="P39" s="223">
        <f t="shared" si="13"/>
        <v>-10.411982545700168</v>
      </c>
      <c r="Q39" s="223">
        <f t="shared" si="13"/>
        <v>-13.239501489729761</v>
      </c>
      <c r="R39" s="223">
        <f t="shared" si="13"/>
        <v>-16.423176540430319</v>
      </c>
      <c r="S39" s="223">
        <f t="shared" si="13"/>
        <v>-19.998458042928487</v>
      </c>
      <c r="T39" s="223">
        <f t="shared" si="13"/>
        <v>-23.99176127872601</v>
      </c>
      <c r="U39" s="223">
        <f t="shared" si="13"/>
        <v>-28.456142651205464</v>
      </c>
      <c r="V39" s="223">
        <f t="shared" si="13"/>
        <v>-33.442674211495401</v>
      </c>
      <c r="W39" s="223">
        <f t="shared" si="13"/>
        <v>-39.034929308989156</v>
      </c>
      <c r="X39" s="223">
        <f t="shared" si="13"/>
        <v>-45.279574267614528</v>
      </c>
      <c r="Y39" s="223">
        <f t="shared" si="13"/>
        <v>-52.257967400441757</v>
      </c>
      <c r="Z39" s="306">
        <f t="shared" si="13"/>
        <v>-59.998353524727484</v>
      </c>
    </row>
    <row r="40" spans="1:27">
      <c r="A40" s="2"/>
      <c r="B40" s="303" t="s">
        <v>400</v>
      </c>
      <c r="H40" s="296">
        <f>IF(H38&gt;0,H38,0)</f>
        <v>1</v>
      </c>
      <c r="I40" s="296">
        <f t="shared" ref="I40:Z41" si="14">IF(I38&gt;0,I38,0)</f>
        <v>1</v>
      </c>
      <c r="J40" s="296">
        <f t="shared" si="14"/>
        <v>0.72737817170145413</v>
      </c>
      <c r="K40" s="296">
        <f t="shared" si="14"/>
        <v>0</v>
      </c>
      <c r="L40" s="296">
        <f t="shared" si="14"/>
        <v>0</v>
      </c>
      <c r="M40" s="296">
        <f t="shared" si="14"/>
        <v>0</v>
      </c>
      <c r="N40" s="296">
        <f t="shared" si="14"/>
        <v>0</v>
      </c>
      <c r="O40" s="296">
        <f t="shared" si="14"/>
        <v>0</v>
      </c>
      <c r="P40" s="296">
        <f t="shared" si="14"/>
        <v>0</v>
      </c>
      <c r="Q40" s="296">
        <f t="shared" si="14"/>
        <v>0</v>
      </c>
      <c r="R40" s="296">
        <f t="shared" si="14"/>
        <v>0</v>
      </c>
      <c r="S40" s="296">
        <f t="shared" si="14"/>
        <v>0</v>
      </c>
      <c r="T40" s="296">
        <f t="shared" si="14"/>
        <v>0</v>
      </c>
      <c r="U40" s="296">
        <f t="shared" si="14"/>
        <v>0</v>
      </c>
      <c r="V40" s="296">
        <f t="shared" si="14"/>
        <v>0</v>
      </c>
      <c r="W40" s="296">
        <f t="shared" si="14"/>
        <v>0</v>
      </c>
      <c r="X40" s="296">
        <f t="shared" si="14"/>
        <v>0</v>
      </c>
      <c r="Y40" s="296">
        <f t="shared" si="14"/>
        <v>0</v>
      </c>
      <c r="Z40" s="297">
        <f t="shared" si="14"/>
        <v>0</v>
      </c>
      <c r="AA40" s="297"/>
    </row>
    <row r="41" spans="1:27">
      <c r="A41" s="2"/>
      <c r="B41" s="295" t="s">
        <v>401</v>
      </c>
      <c r="C41" s="225"/>
      <c r="D41" s="225"/>
      <c r="E41" s="225"/>
      <c r="F41" s="225"/>
      <c r="G41" s="225"/>
      <c r="H41" s="304">
        <f>IF(H39&gt;0,H39,0)</f>
        <v>1</v>
      </c>
      <c r="I41" s="304">
        <f t="shared" si="14"/>
        <v>1</v>
      </c>
      <c r="J41" s="304">
        <f t="shared" si="14"/>
        <v>0.96814034653463543</v>
      </c>
      <c r="K41" s="304">
        <f t="shared" si="14"/>
        <v>0</v>
      </c>
      <c r="L41" s="304">
        <f t="shared" si="14"/>
        <v>0</v>
      </c>
      <c r="M41" s="304">
        <f t="shared" si="14"/>
        <v>0</v>
      </c>
      <c r="N41" s="304">
        <f t="shared" si="14"/>
        <v>0</v>
      </c>
      <c r="O41" s="304">
        <f t="shared" si="14"/>
        <v>0</v>
      </c>
      <c r="P41" s="304">
        <f t="shared" si="14"/>
        <v>0</v>
      </c>
      <c r="Q41" s="304">
        <f t="shared" si="14"/>
        <v>0</v>
      </c>
      <c r="R41" s="304">
        <f t="shared" si="14"/>
        <v>0</v>
      </c>
      <c r="S41" s="304">
        <f t="shared" si="14"/>
        <v>0</v>
      </c>
      <c r="T41" s="304">
        <f t="shared" si="14"/>
        <v>0</v>
      </c>
      <c r="U41" s="304">
        <f t="shared" si="14"/>
        <v>0</v>
      </c>
      <c r="V41" s="304">
        <f t="shared" si="14"/>
        <v>0</v>
      </c>
      <c r="W41" s="304">
        <f t="shared" si="14"/>
        <v>0</v>
      </c>
      <c r="X41" s="304">
        <f t="shared" si="14"/>
        <v>0</v>
      </c>
      <c r="Y41" s="304">
        <f t="shared" si="14"/>
        <v>0</v>
      </c>
      <c r="Z41" s="305">
        <f t="shared" si="14"/>
        <v>0</v>
      </c>
    </row>
    <row r="42" spans="1:27">
      <c r="H42" s="1"/>
      <c r="I42" s="1"/>
      <c r="J42" s="1"/>
      <c r="K42" s="1"/>
      <c r="L42" s="1"/>
      <c r="M42" s="1"/>
      <c r="N42" s="1"/>
      <c r="O42" s="1"/>
      <c r="P42" s="1"/>
      <c r="Q42" s="1"/>
      <c r="R42" s="1"/>
      <c r="S42" s="1"/>
      <c r="T42" s="1"/>
      <c r="U42" s="1"/>
      <c r="V42" s="1"/>
      <c r="W42" s="1"/>
      <c r="X42" s="1"/>
      <c r="Y42" s="1"/>
      <c r="Z42" s="1"/>
    </row>
    <row r="43" spans="1:27">
      <c r="A43" s="1"/>
      <c r="H43" s="1"/>
      <c r="I43" s="1"/>
      <c r="J43" s="1"/>
      <c r="K43" s="1"/>
      <c r="L43" s="1"/>
      <c r="M43" s="1"/>
      <c r="N43" s="1"/>
      <c r="O43" s="1"/>
      <c r="P43" s="1"/>
      <c r="Q43" s="1"/>
      <c r="R43" s="1"/>
      <c r="S43" s="1"/>
      <c r="T43" s="1"/>
      <c r="U43" s="1"/>
      <c r="V43" s="1"/>
      <c r="W43" s="1"/>
      <c r="X43" s="1"/>
      <c r="Y43" s="1"/>
      <c r="Z43" s="1"/>
    </row>
    <row r="44" spans="1:27">
      <c r="A44" s="1"/>
      <c r="I44" s="229"/>
      <c r="J44" s="1083"/>
      <c r="K44" s="1083"/>
      <c r="L44" s="1083"/>
      <c r="M44" s="1083"/>
      <c r="N44" s="1083"/>
    </row>
    <row r="45" spans="1:27">
      <c r="A45" s="1"/>
      <c r="B45" s="227" t="s">
        <v>395</v>
      </c>
      <c r="C45" s="228">
        <v>4.4999999999999998E-2</v>
      </c>
      <c r="H45" s="32">
        <f>(H20*10^7)/350000*70%</f>
        <v>42946.891592536515</v>
      </c>
      <c r="I45" s="32">
        <f>(I20*10^7/350000*90%)</f>
        <v>30287.10067150505</v>
      </c>
    </row>
    <row r="46" spans="1:27">
      <c r="A46" s="1"/>
      <c r="B46" s="227" t="s">
        <v>346</v>
      </c>
      <c r="C46" s="291">
        <v>4</v>
      </c>
      <c r="L46" s="226"/>
      <c r="M46" s="226"/>
      <c r="N46" s="226"/>
      <c r="O46" s="226"/>
      <c r="P46" s="226"/>
      <c r="Q46" s="226"/>
    </row>
    <row r="47" spans="1:27">
      <c r="A47" s="1"/>
    </row>
    <row r="48" spans="1:27">
      <c r="B48" s="287" t="s">
        <v>389</v>
      </c>
      <c r="C48" s="287"/>
      <c r="D48" s="287"/>
      <c r="E48" s="287"/>
      <c r="F48" s="287"/>
      <c r="G48" s="287"/>
      <c r="H48" s="158">
        <f t="shared" ref="H48:Z48" si="15">H10/(350000*H3)*10^7</f>
        <v>156842.28571428577</v>
      </c>
      <c r="I48" s="158">
        <f t="shared" si="15"/>
        <v>79050.595924116657</v>
      </c>
      <c r="J48" s="158">
        <f t="shared" si="15"/>
        <v>83599.167213590321</v>
      </c>
      <c r="K48" s="158">
        <f t="shared" si="15"/>
        <v>88409.463295060283</v>
      </c>
      <c r="L48" s="158">
        <f t="shared" si="15"/>
        <v>93496.543813058059</v>
      </c>
      <c r="M48" s="158">
        <f t="shared" si="15"/>
        <v>98876.334944061411</v>
      </c>
      <c r="N48" s="158">
        <f t="shared" si="15"/>
        <v>104565.67925674266</v>
      </c>
      <c r="O48" s="158">
        <f t="shared" si="15"/>
        <v>110582.38844117564</v>
      </c>
      <c r="P48" s="158">
        <f t="shared" si="15"/>
        <v>116945.29907208083</v>
      </c>
      <c r="Q48" s="158">
        <f t="shared" si="15"/>
        <v>123674.33158068836</v>
      </c>
      <c r="R48" s="158">
        <f t="shared" si="15"/>
        <v>130790.55261984115</v>
      </c>
      <c r="S48" s="158">
        <f t="shared" si="15"/>
        <v>138316.24101758681</v>
      </c>
      <c r="T48" s="158">
        <f t="shared" si="15"/>
        <v>146274.95752573875</v>
      </c>
      <c r="U48" s="158">
        <f t="shared" si="15"/>
        <v>154691.61858176976</v>
      </c>
      <c r="V48" s="158">
        <f t="shared" si="15"/>
        <v>163592.57431496476</v>
      </c>
      <c r="W48" s="158">
        <f t="shared" si="15"/>
        <v>173005.69104104786</v>
      </c>
      <c r="X48" s="158">
        <f t="shared" si="15"/>
        <v>182960.43850354964</v>
      </c>
      <c r="Y48" s="158">
        <f t="shared" si="15"/>
        <v>193487.98213504389</v>
      </c>
      <c r="Z48" s="288">
        <f t="shared" si="15"/>
        <v>204621.28062709427</v>
      </c>
    </row>
    <row r="49" spans="2:26">
      <c r="B49" s="1" t="s">
        <v>390</v>
      </c>
      <c r="H49" s="75">
        <f>H20/((350000))*10^7</f>
        <v>61352.702275052179</v>
      </c>
      <c r="I49" s="75">
        <f>I20/((350000))*10^7</f>
        <v>33652.334079450062</v>
      </c>
      <c r="J49" s="75">
        <f>J20/((350000))*10^7</f>
        <v>38352.65051204987</v>
      </c>
      <c r="K49" s="75">
        <f t="shared" ref="K49:Z49" si="16">K20/((350000))*10^7</f>
        <v>40507.655426323145</v>
      </c>
      <c r="L49" s="75">
        <f t="shared" si="16"/>
        <v>42713.183814780496</v>
      </c>
      <c r="M49" s="75">
        <f t="shared" si="16"/>
        <v>45075.471622823177</v>
      </c>
      <c r="N49" s="75">
        <f t="shared" si="16"/>
        <v>47560.82859938078</v>
      </c>
      <c r="O49" s="75">
        <f t="shared" si="16"/>
        <v>50197.858542688366</v>
      </c>
      <c r="P49" s="75">
        <f t="shared" si="16"/>
        <v>53034.528056605115</v>
      </c>
      <c r="Q49" s="75">
        <f t="shared" si="16"/>
        <v>55865.910193985292</v>
      </c>
      <c r="R49" s="75">
        <f t="shared" si="16"/>
        <v>58880.590346219273</v>
      </c>
      <c r="S49" s="75">
        <f t="shared" si="16"/>
        <v>62071.699119690333</v>
      </c>
      <c r="T49" s="75">
        <f t="shared" si="16"/>
        <v>65394.382979030735</v>
      </c>
      <c r="U49" s="75">
        <f t="shared" si="16"/>
        <v>68887.366844552569</v>
      </c>
      <c r="V49" s="75">
        <f t="shared" si="16"/>
        <v>72563.685162416834</v>
      </c>
      <c r="W49" s="75">
        <f t="shared" si="16"/>
        <v>76503.666176207669</v>
      </c>
      <c r="X49" s="75">
        <f t="shared" si="16"/>
        <v>80675.658165316403</v>
      </c>
      <c r="Y49" s="75">
        <f t="shared" si="16"/>
        <v>85116.997931585211</v>
      </c>
      <c r="Z49" s="75">
        <f t="shared" si="16"/>
        <v>89745.475322342681</v>
      </c>
    </row>
    <row r="50" spans="2:26">
      <c r="B50" s="225" t="s">
        <v>391</v>
      </c>
      <c r="C50" s="225"/>
      <c r="D50" s="225"/>
      <c r="E50" s="225"/>
      <c r="F50" s="225"/>
      <c r="G50" s="225"/>
      <c r="H50" s="289">
        <f>H48-H49</f>
        <v>95489.583439233596</v>
      </c>
      <c r="I50" s="289">
        <f t="shared" ref="I50:Z50" si="17">I48-I49</f>
        <v>45398.261844666595</v>
      </c>
      <c r="J50" s="289">
        <f t="shared" si="17"/>
        <v>45246.516701540451</v>
      </c>
      <c r="K50" s="289">
        <f t="shared" si="17"/>
        <v>47901.807868737138</v>
      </c>
      <c r="L50" s="289">
        <f t="shared" si="17"/>
        <v>50783.359998277563</v>
      </c>
      <c r="M50" s="289">
        <f t="shared" si="17"/>
        <v>53800.863321238234</v>
      </c>
      <c r="N50" s="289">
        <f t="shared" si="17"/>
        <v>57004.85065736188</v>
      </c>
      <c r="O50" s="289">
        <f t="shared" si="17"/>
        <v>60384.529898487279</v>
      </c>
      <c r="P50" s="289">
        <f t="shared" si="17"/>
        <v>63910.771015475715</v>
      </c>
      <c r="Q50" s="289">
        <f t="shared" si="17"/>
        <v>67808.421386703063</v>
      </c>
      <c r="R50" s="289">
        <f t="shared" si="17"/>
        <v>71909.962273621873</v>
      </c>
      <c r="S50" s="289">
        <f t="shared" si="17"/>
        <v>76244.541897896474</v>
      </c>
      <c r="T50" s="289">
        <f t="shared" si="17"/>
        <v>80880.574546708012</v>
      </c>
      <c r="U50" s="289">
        <f t="shared" si="17"/>
        <v>85804.251737217186</v>
      </c>
      <c r="V50" s="289">
        <f t="shared" si="17"/>
        <v>91028.889152547927</v>
      </c>
      <c r="W50" s="289">
        <f t="shared" si="17"/>
        <v>96502.02486484019</v>
      </c>
      <c r="X50" s="289">
        <f t="shared" si="17"/>
        <v>102284.78033823323</v>
      </c>
      <c r="Y50" s="289">
        <f t="shared" si="17"/>
        <v>108370.98420345868</v>
      </c>
      <c r="Z50" s="42">
        <f t="shared" si="17"/>
        <v>114875.80530475159</v>
      </c>
    </row>
    <row r="51" spans="2:26">
      <c r="I51" s="226"/>
      <c r="J51" s="226"/>
      <c r="K51" s="226"/>
      <c r="L51" s="226"/>
      <c r="M51" s="226"/>
      <c r="N51" s="226"/>
      <c r="P51" s="226"/>
    </row>
    <row r="52" spans="2:26">
      <c r="B52" s="1" t="s">
        <v>75</v>
      </c>
      <c r="I52" s="226"/>
      <c r="J52" s="226"/>
      <c r="K52" s="226"/>
      <c r="L52" s="226"/>
      <c r="M52" s="226"/>
      <c r="N52" s="226"/>
      <c r="P52" s="226"/>
    </row>
    <row r="53" spans="2:26">
      <c r="B53" s="1" t="s">
        <v>74</v>
      </c>
    </row>
    <row r="57" spans="2:26">
      <c r="B57" s="1" t="s">
        <v>38</v>
      </c>
    </row>
    <row r="58" spans="2:26">
      <c r="B58" s="1" t="s">
        <v>39</v>
      </c>
    </row>
    <row r="59" spans="2:26">
      <c r="B59" s="1" t="s">
        <v>40</v>
      </c>
    </row>
    <row r="63" spans="2:26">
      <c r="H63" s="199"/>
      <c r="I63" s="199"/>
      <c r="J63" s="199"/>
      <c r="K63" s="199"/>
      <c r="L63" s="199"/>
      <c r="M63" s="199"/>
    </row>
    <row r="64" spans="2:26">
      <c r="H64" s="231"/>
      <c r="I64" s="231"/>
      <c r="J64" s="231"/>
      <c r="K64" s="231"/>
      <c r="L64" s="231">
        <v>0.05</v>
      </c>
      <c r="M64" s="231"/>
    </row>
    <row r="65" spans="8:13">
      <c r="H65" s="231"/>
      <c r="I65" s="231"/>
      <c r="J65" s="231"/>
      <c r="K65" s="231"/>
      <c r="L65" s="231"/>
      <c r="M65" s="231"/>
    </row>
  </sheetData>
  <mergeCells count="9">
    <mergeCell ref="R4:Z4"/>
    <mergeCell ref="B5:B6"/>
    <mergeCell ref="A7:G7"/>
    <mergeCell ref="J44:N44"/>
    <mergeCell ref="A1:F1"/>
    <mergeCell ref="A2:B2"/>
    <mergeCell ref="A3:B3"/>
    <mergeCell ref="A4:B4"/>
    <mergeCell ref="H4:Q4"/>
  </mergeCells>
  <hyperlinks>
    <hyperlink ref="B33" r:id="rId1" display="NPV@12%" xr:uid="{0EE8A89F-1909-4816-8AD2-842C17D31A89}"/>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98ED-B366-48EC-92B9-14445471E99F}">
  <sheetPr codeName="Sheet30"/>
  <dimension ref="A1:B35"/>
  <sheetViews>
    <sheetView showGridLines="0" zoomScaleNormal="100" zoomScaleSheetLayoutView="100" workbookViewId="0">
      <selection activeCell="E14" sqref="E14"/>
    </sheetView>
  </sheetViews>
  <sheetFormatPr defaultRowHeight="21" customHeight="1"/>
  <cols>
    <col min="1" max="1" width="83.28515625" style="148" customWidth="1"/>
    <col min="2" max="2" width="10.7109375" style="148" customWidth="1"/>
    <col min="3" max="246" width="9.140625" style="148"/>
    <col min="247" max="247" width="35.7109375" style="148" customWidth="1"/>
    <col min="248" max="257" width="10.7109375" style="148" customWidth="1"/>
    <col min="258" max="502" width="9.140625" style="148"/>
    <col min="503" max="503" width="35.7109375" style="148" customWidth="1"/>
    <col min="504" max="513" width="10.7109375" style="148" customWidth="1"/>
    <col min="514" max="758" width="9.140625" style="148"/>
    <col min="759" max="759" width="35.7109375" style="148" customWidth="1"/>
    <col min="760" max="769" width="10.7109375" style="148" customWidth="1"/>
    <col min="770" max="1014" width="9.140625" style="148"/>
    <col min="1015" max="1015" width="35.7109375" style="148" customWidth="1"/>
    <col min="1016" max="1025" width="10.7109375" style="148" customWidth="1"/>
    <col min="1026" max="1270" width="9.140625" style="148"/>
    <col min="1271" max="1271" width="35.7109375" style="148" customWidth="1"/>
    <col min="1272" max="1281" width="10.7109375" style="148" customWidth="1"/>
    <col min="1282" max="1526" width="9.140625" style="148"/>
    <col min="1527" max="1527" width="35.7109375" style="148" customWidth="1"/>
    <col min="1528" max="1537" width="10.7109375" style="148" customWidth="1"/>
    <col min="1538" max="1782" width="9.140625" style="148"/>
    <col min="1783" max="1783" width="35.7109375" style="148" customWidth="1"/>
    <col min="1784" max="1793" width="10.7109375" style="148" customWidth="1"/>
    <col min="1794" max="2038" width="9.140625" style="148"/>
    <col min="2039" max="2039" width="35.7109375" style="148" customWidth="1"/>
    <col min="2040" max="2049" width="10.7109375" style="148" customWidth="1"/>
    <col min="2050" max="2294" width="9.140625" style="148"/>
    <col min="2295" max="2295" width="35.7109375" style="148" customWidth="1"/>
    <col min="2296" max="2305" width="10.7109375" style="148" customWidth="1"/>
    <col min="2306" max="2550" width="9.140625" style="148"/>
    <col min="2551" max="2551" width="35.7109375" style="148" customWidth="1"/>
    <col min="2552" max="2561" width="10.7109375" style="148" customWidth="1"/>
    <col min="2562" max="2806" width="9.140625" style="148"/>
    <col min="2807" max="2807" width="35.7109375" style="148" customWidth="1"/>
    <col min="2808" max="2817" width="10.7109375" style="148" customWidth="1"/>
    <col min="2818" max="3062" width="9.140625" style="148"/>
    <col min="3063" max="3063" width="35.7109375" style="148" customWidth="1"/>
    <col min="3064" max="3073" width="10.7109375" style="148" customWidth="1"/>
    <col min="3074" max="3318" width="9.140625" style="148"/>
    <col min="3319" max="3319" width="35.7109375" style="148" customWidth="1"/>
    <col min="3320" max="3329" width="10.7109375" style="148" customWidth="1"/>
    <col min="3330" max="3574" width="9.140625" style="148"/>
    <col min="3575" max="3575" width="35.7109375" style="148" customWidth="1"/>
    <col min="3576" max="3585" width="10.7109375" style="148" customWidth="1"/>
    <col min="3586" max="3830" width="9.140625" style="148"/>
    <col min="3831" max="3831" width="35.7109375" style="148" customWidth="1"/>
    <col min="3832" max="3841" width="10.7109375" style="148" customWidth="1"/>
    <col min="3842" max="4086" width="9.140625" style="148"/>
    <col min="4087" max="4087" width="35.7109375" style="148" customWidth="1"/>
    <col min="4088" max="4097" width="10.7109375" style="148" customWidth="1"/>
    <col min="4098" max="4342" width="9.140625" style="148"/>
    <col min="4343" max="4343" width="35.7109375" style="148" customWidth="1"/>
    <col min="4344" max="4353" width="10.7109375" style="148" customWidth="1"/>
    <col min="4354" max="4598" width="9.140625" style="148"/>
    <col min="4599" max="4599" width="35.7109375" style="148" customWidth="1"/>
    <col min="4600" max="4609" width="10.7109375" style="148" customWidth="1"/>
    <col min="4610" max="4854" width="9.140625" style="148"/>
    <col min="4855" max="4855" width="35.7109375" style="148" customWidth="1"/>
    <col min="4856" max="4865" width="10.7109375" style="148" customWidth="1"/>
    <col min="4866" max="5110" width="9.140625" style="148"/>
    <col min="5111" max="5111" width="35.7109375" style="148" customWidth="1"/>
    <col min="5112" max="5121" width="10.7109375" style="148" customWidth="1"/>
    <col min="5122" max="5366" width="9.140625" style="148"/>
    <col min="5367" max="5367" width="35.7109375" style="148" customWidth="1"/>
    <col min="5368" max="5377" width="10.7109375" style="148" customWidth="1"/>
    <col min="5378" max="5622" width="9.140625" style="148"/>
    <col min="5623" max="5623" width="35.7109375" style="148" customWidth="1"/>
    <col min="5624" max="5633" width="10.7109375" style="148" customWidth="1"/>
    <col min="5634" max="5878" width="9.140625" style="148"/>
    <col min="5879" max="5879" width="35.7109375" style="148" customWidth="1"/>
    <col min="5880" max="5889" width="10.7109375" style="148" customWidth="1"/>
    <col min="5890" max="6134" width="9.140625" style="148"/>
    <col min="6135" max="6135" width="35.7109375" style="148" customWidth="1"/>
    <col min="6136" max="6145" width="10.7109375" style="148" customWidth="1"/>
    <col min="6146" max="6390" width="9.140625" style="148"/>
    <col min="6391" max="6391" width="35.7109375" style="148" customWidth="1"/>
    <col min="6392" max="6401" width="10.7109375" style="148" customWidth="1"/>
    <col min="6402" max="6646" width="9.140625" style="148"/>
    <col min="6647" max="6647" width="35.7109375" style="148" customWidth="1"/>
    <col min="6648" max="6657" width="10.7109375" style="148" customWidth="1"/>
    <col min="6658" max="6902" width="9.140625" style="148"/>
    <col min="6903" max="6903" width="35.7109375" style="148" customWidth="1"/>
    <col min="6904" max="6913" width="10.7109375" style="148" customWidth="1"/>
    <col min="6914" max="7158" width="9.140625" style="148"/>
    <col min="7159" max="7159" width="35.7109375" style="148" customWidth="1"/>
    <col min="7160" max="7169" width="10.7109375" style="148" customWidth="1"/>
    <col min="7170" max="7414" width="9.140625" style="148"/>
    <col min="7415" max="7415" width="35.7109375" style="148" customWidth="1"/>
    <col min="7416" max="7425" width="10.7109375" style="148" customWidth="1"/>
    <col min="7426" max="7670" width="9.140625" style="148"/>
    <col min="7671" max="7671" width="35.7109375" style="148" customWidth="1"/>
    <col min="7672" max="7681" width="10.7109375" style="148" customWidth="1"/>
    <col min="7682" max="7926" width="9.140625" style="148"/>
    <col min="7927" max="7927" width="35.7109375" style="148" customWidth="1"/>
    <col min="7928" max="7937" width="10.7109375" style="148" customWidth="1"/>
    <col min="7938" max="8182" width="9.140625" style="148"/>
    <col min="8183" max="8183" width="35.7109375" style="148" customWidth="1"/>
    <col min="8184" max="8193" width="10.7109375" style="148" customWidth="1"/>
    <col min="8194" max="8438" width="9.140625" style="148"/>
    <col min="8439" max="8439" width="35.7109375" style="148" customWidth="1"/>
    <col min="8440" max="8449" width="10.7109375" style="148" customWidth="1"/>
    <col min="8450" max="8694" width="9.140625" style="148"/>
    <col min="8695" max="8695" width="35.7109375" style="148" customWidth="1"/>
    <col min="8696" max="8705" width="10.7109375" style="148" customWidth="1"/>
    <col min="8706" max="8950" width="9.140625" style="148"/>
    <col min="8951" max="8951" width="35.7109375" style="148" customWidth="1"/>
    <col min="8952" max="8961" width="10.7109375" style="148" customWidth="1"/>
    <col min="8962" max="9206" width="9.140625" style="148"/>
    <col min="9207" max="9207" width="35.7109375" style="148" customWidth="1"/>
    <col min="9208" max="9217" width="10.7109375" style="148" customWidth="1"/>
    <col min="9218" max="9462" width="9.140625" style="148"/>
    <col min="9463" max="9463" width="35.7109375" style="148" customWidth="1"/>
    <col min="9464" max="9473" width="10.7109375" style="148" customWidth="1"/>
    <col min="9474" max="9718" width="9.140625" style="148"/>
    <col min="9719" max="9719" width="35.7109375" style="148" customWidth="1"/>
    <col min="9720" max="9729" width="10.7109375" style="148" customWidth="1"/>
    <col min="9730" max="9974" width="9.140625" style="148"/>
    <col min="9975" max="9975" width="35.7109375" style="148" customWidth="1"/>
    <col min="9976" max="9985" width="10.7109375" style="148" customWidth="1"/>
    <col min="9986" max="10230" width="9.140625" style="148"/>
    <col min="10231" max="10231" width="35.7109375" style="148" customWidth="1"/>
    <col min="10232" max="10241" width="10.7109375" style="148" customWidth="1"/>
    <col min="10242" max="10486" width="9.140625" style="148"/>
    <col min="10487" max="10487" width="35.7109375" style="148" customWidth="1"/>
    <col min="10488" max="10497" width="10.7109375" style="148" customWidth="1"/>
    <col min="10498" max="10742" width="9.140625" style="148"/>
    <col min="10743" max="10743" width="35.7109375" style="148" customWidth="1"/>
    <col min="10744" max="10753" width="10.7109375" style="148" customWidth="1"/>
    <col min="10754" max="10998" width="9.140625" style="148"/>
    <col min="10999" max="10999" width="35.7109375" style="148" customWidth="1"/>
    <col min="11000" max="11009" width="10.7109375" style="148" customWidth="1"/>
    <col min="11010" max="11254" width="9.140625" style="148"/>
    <col min="11255" max="11255" width="35.7109375" style="148" customWidth="1"/>
    <col min="11256" max="11265" width="10.7109375" style="148" customWidth="1"/>
    <col min="11266" max="11510" width="9.140625" style="148"/>
    <col min="11511" max="11511" width="35.7109375" style="148" customWidth="1"/>
    <col min="11512" max="11521" width="10.7109375" style="148" customWidth="1"/>
    <col min="11522" max="11766" width="9.140625" style="148"/>
    <col min="11767" max="11767" width="35.7109375" style="148" customWidth="1"/>
    <col min="11768" max="11777" width="10.7109375" style="148" customWidth="1"/>
    <col min="11778" max="12022" width="9.140625" style="148"/>
    <col min="12023" max="12023" width="35.7109375" style="148" customWidth="1"/>
    <col min="12024" max="12033" width="10.7109375" style="148" customWidth="1"/>
    <col min="12034" max="12278" width="9.140625" style="148"/>
    <col min="12279" max="12279" width="35.7109375" style="148" customWidth="1"/>
    <col min="12280" max="12289" width="10.7109375" style="148" customWidth="1"/>
    <col min="12290" max="12534" width="9.140625" style="148"/>
    <col min="12535" max="12535" width="35.7109375" style="148" customWidth="1"/>
    <col min="12536" max="12545" width="10.7109375" style="148" customWidth="1"/>
    <col min="12546" max="12790" width="9.140625" style="148"/>
    <col min="12791" max="12791" width="35.7109375" style="148" customWidth="1"/>
    <col min="12792" max="12801" width="10.7109375" style="148" customWidth="1"/>
    <col min="12802" max="13046" width="9.140625" style="148"/>
    <col min="13047" max="13047" width="35.7109375" style="148" customWidth="1"/>
    <col min="13048" max="13057" width="10.7109375" style="148" customWidth="1"/>
    <col min="13058" max="13302" width="9.140625" style="148"/>
    <col min="13303" max="13303" width="35.7109375" style="148" customWidth="1"/>
    <col min="13304" max="13313" width="10.7109375" style="148" customWidth="1"/>
    <col min="13314" max="13558" width="9.140625" style="148"/>
    <col min="13559" max="13559" width="35.7109375" style="148" customWidth="1"/>
    <col min="13560" max="13569" width="10.7109375" style="148" customWidth="1"/>
    <col min="13570" max="13814" width="9.140625" style="148"/>
    <col min="13815" max="13815" width="35.7109375" style="148" customWidth="1"/>
    <col min="13816" max="13825" width="10.7109375" style="148" customWidth="1"/>
    <col min="13826" max="14070" width="9.140625" style="148"/>
    <col min="14071" max="14071" width="35.7109375" style="148" customWidth="1"/>
    <col min="14072" max="14081" width="10.7109375" style="148" customWidth="1"/>
    <col min="14082" max="14326" width="9.140625" style="148"/>
    <col min="14327" max="14327" width="35.7109375" style="148" customWidth="1"/>
    <col min="14328" max="14337" width="10.7109375" style="148" customWidth="1"/>
    <col min="14338" max="14582" width="9.140625" style="148"/>
    <col min="14583" max="14583" width="35.7109375" style="148" customWidth="1"/>
    <col min="14584" max="14593" width="10.7109375" style="148" customWidth="1"/>
    <col min="14594" max="14838" width="9.140625" style="148"/>
    <col min="14839" max="14839" width="35.7109375" style="148" customWidth="1"/>
    <col min="14840" max="14849" width="10.7109375" style="148" customWidth="1"/>
    <col min="14850" max="15094" width="9.140625" style="148"/>
    <col min="15095" max="15095" width="35.7109375" style="148" customWidth="1"/>
    <col min="15096" max="15105" width="10.7109375" style="148" customWidth="1"/>
    <col min="15106" max="15350" width="9.140625" style="148"/>
    <col min="15351" max="15351" width="35.7109375" style="148" customWidth="1"/>
    <col min="15352" max="15361" width="10.7109375" style="148" customWidth="1"/>
    <col min="15362" max="15606" width="9.140625" style="148"/>
    <col min="15607" max="15607" width="35.7109375" style="148" customWidth="1"/>
    <col min="15608" max="15617" width="10.7109375" style="148" customWidth="1"/>
    <col min="15618" max="15862" width="9.140625" style="148"/>
    <col min="15863" max="15863" width="35.7109375" style="148" customWidth="1"/>
    <col min="15864" max="15873" width="10.7109375" style="148" customWidth="1"/>
    <col min="15874" max="16118" width="9.140625" style="148"/>
    <col min="16119" max="16119" width="35.7109375" style="148" customWidth="1"/>
    <col min="16120" max="16129" width="10.7109375" style="148" customWidth="1"/>
    <col min="16130" max="16384" width="9.140625" style="148"/>
  </cols>
  <sheetData>
    <row r="1" spans="1:2" ht="21" customHeight="1">
      <c r="A1" s="1105" t="s">
        <v>450</v>
      </c>
      <c r="B1" s="1107"/>
    </row>
    <row r="2" spans="1:2" ht="21" customHeight="1">
      <c r="A2" s="505" t="s">
        <v>257</v>
      </c>
      <c r="B2" s="507">
        <v>1</v>
      </c>
    </row>
    <row r="3" spans="1:2" ht="18.75" customHeight="1">
      <c r="A3" s="1108" t="s">
        <v>258</v>
      </c>
      <c r="B3" s="1110"/>
    </row>
    <row r="4" spans="1:2" ht="21" customHeight="1">
      <c r="A4" s="505"/>
      <c r="B4" s="508" t="s">
        <v>259</v>
      </c>
    </row>
    <row r="5" spans="1:2" s="135" customFormat="1" ht="21" customHeight="1">
      <c r="A5" s="505" t="s">
        <v>298</v>
      </c>
      <c r="B5" s="527">
        <f>'Cashflow Current'!H11</f>
        <v>3842.6360000000004</v>
      </c>
    </row>
    <row r="6" spans="1:2" s="135" customFormat="1" ht="21" customHeight="1">
      <c r="A6" s="505" t="s">
        <v>441</v>
      </c>
      <c r="B6" s="527">
        <f>'Cashflow Current'!H20</f>
        <v>2147.3445796268261</v>
      </c>
    </row>
    <row r="7" spans="1:2" s="135" customFormat="1" ht="21" customHeight="1">
      <c r="A7" s="52" t="s">
        <v>28</v>
      </c>
      <c r="B7" s="527">
        <f>'Cashflow 350 KTPA'!H14</f>
        <v>538.74784014662771</v>
      </c>
    </row>
    <row r="8" spans="1:2" s="135" customFormat="1" ht="21" customHeight="1">
      <c r="A8" s="52" t="s">
        <v>325</v>
      </c>
      <c r="B8" s="527">
        <f>'Cashflow 350 KTPA'!H15</f>
        <v>71.75</v>
      </c>
    </row>
    <row r="9" spans="1:2" s="135" customFormat="1" ht="21" customHeight="1">
      <c r="A9" s="52" t="s">
        <v>29</v>
      </c>
      <c r="B9" s="527">
        <f>'Cashflow 350 KTPA'!H16</f>
        <v>26.91</v>
      </c>
    </row>
    <row r="10" spans="1:2" s="135" customFormat="1" ht="21" customHeight="1">
      <c r="A10" s="52" t="s">
        <v>17</v>
      </c>
      <c r="B10" s="527">
        <f>'Cashflow 350 KTPA'!H17</f>
        <v>157.19999999999999</v>
      </c>
    </row>
    <row r="11" spans="1:2" s="135" customFormat="1" ht="21" customHeight="1">
      <c r="A11" s="52" t="s">
        <v>20</v>
      </c>
      <c r="B11" s="527">
        <f>'Cashflow 350 KTPA'!H18</f>
        <v>69.089377505903997</v>
      </c>
    </row>
    <row r="12" spans="1:2" s="135" customFormat="1" ht="21" customHeight="1">
      <c r="A12" s="52" t="s">
        <v>21</v>
      </c>
      <c r="B12" s="527">
        <f>'Cashflow 350 KTPA'!H19</f>
        <v>77.789892050550776</v>
      </c>
    </row>
    <row r="13" spans="1:2" ht="21" customHeight="1">
      <c r="A13" s="505" t="s">
        <v>442</v>
      </c>
      <c r="B13" s="527">
        <f t="shared" ref="B13" si="0">B5-B6</f>
        <v>1695.2914203731743</v>
      </c>
    </row>
    <row r="14" spans="1:2" s="135" customFormat="1" ht="21" customHeight="1">
      <c r="A14" s="505" t="s">
        <v>448</v>
      </c>
      <c r="B14" s="527">
        <f>'Cashflow 350 KTPA'!$G$8/10</f>
        <v>415.94497678079995</v>
      </c>
    </row>
    <row r="15" spans="1:2" s="135" customFormat="1" ht="21" customHeight="1">
      <c r="A15" s="505" t="s">
        <v>449</v>
      </c>
      <c r="B15" s="527">
        <f>B13-B14</f>
        <v>1279.3464435923743</v>
      </c>
    </row>
    <row r="16" spans="1:2" s="135" customFormat="1" ht="21" customHeight="1">
      <c r="A16" s="505" t="s">
        <v>269</v>
      </c>
      <c r="B16" s="527">
        <f>B15*0.2517</f>
        <v>322.01149985220059</v>
      </c>
    </row>
    <row r="17" spans="1:2" s="135" customFormat="1" ht="21" customHeight="1">
      <c r="A17" s="509" t="s">
        <v>270</v>
      </c>
      <c r="B17" s="529">
        <f>B15-B16</f>
        <v>957.33494374017369</v>
      </c>
    </row>
    <row r="18" spans="1:2" ht="21" customHeight="1">
      <c r="A18" s="147"/>
      <c r="B18" s="146"/>
    </row>
    <row r="19" spans="1:2" ht="21" customHeight="1">
      <c r="A19" s="147"/>
      <c r="B19" s="147"/>
    </row>
    <row r="20" spans="1:2" ht="21" customHeight="1">
      <c r="A20" s="147"/>
      <c r="B20" s="147"/>
    </row>
    <row r="21" spans="1:2" ht="21" customHeight="1">
      <c r="A21" s="147"/>
      <c r="B21" s="147"/>
    </row>
    <row r="22" spans="1:2" ht="21" customHeight="1">
      <c r="A22" s="147"/>
      <c r="B22" s="147"/>
    </row>
    <row r="23" spans="1:2" ht="21" customHeight="1">
      <c r="A23" s="147"/>
      <c r="B23" s="147"/>
    </row>
    <row r="24" spans="1:2" ht="21" customHeight="1">
      <c r="A24" s="147"/>
      <c r="B24" s="147"/>
    </row>
    <row r="25" spans="1:2" ht="21" customHeight="1">
      <c r="A25" s="147"/>
      <c r="B25" s="147"/>
    </row>
    <row r="26" spans="1:2" ht="21" customHeight="1">
      <c r="A26" s="147"/>
      <c r="B26" s="147"/>
    </row>
    <row r="27" spans="1:2" ht="21" customHeight="1">
      <c r="A27" s="147"/>
      <c r="B27" s="147"/>
    </row>
    <row r="28" spans="1:2" ht="21" customHeight="1">
      <c r="A28" s="147" t="s">
        <v>271</v>
      </c>
      <c r="B28" s="147"/>
    </row>
    <row r="29" spans="1:2" ht="21" customHeight="1">
      <c r="A29" s="147"/>
      <c r="B29" s="147"/>
    </row>
    <row r="30" spans="1:2" ht="21" customHeight="1">
      <c r="A30" s="147"/>
      <c r="B30" s="147"/>
    </row>
    <row r="31" spans="1:2" ht="21" customHeight="1">
      <c r="A31" s="147"/>
      <c r="B31" s="147"/>
    </row>
    <row r="32" spans="1:2" ht="21" customHeight="1">
      <c r="A32" s="147"/>
      <c r="B32" s="147"/>
    </row>
    <row r="33" spans="1:2" ht="21" customHeight="1">
      <c r="A33" s="147"/>
      <c r="B33" s="147"/>
    </row>
    <row r="34" spans="1:2" ht="21" customHeight="1">
      <c r="A34" s="147"/>
      <c r="B34" s="147"/>
    </row>
    <row r="35" spans="1:2" ht="21" customHeight="1">
      <c r="A35" s="147"/>
      <c r="B35" s="147"/>
    </row>
  </sheetData>
  <mergeCells count="2">
    <mergeCell ref="A1:B1"/>
    <mergeCell ref="A3:B3"/>
  </mergeCells>
  <printOptions horizontalCentered="1" gridLines="1"/>
  <pageMargins left="0.75" right="0.75" top="0.66" bottom="0.28999999999999998" header="0.23" footer="0.44"/>
  <pageSetup paperSize="9" scale="78"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E674-3E11-4B94-BF18-2CDCD12E2052}">
  <sheetPr codeName="Sheet33"/>
  <dimension ref="A1:G25"/>
  <sheetViews>
    <sheetView showGridLines="0" workbookViewId="0">
      <selection activeCell="B1" sqref="B1:G1"/>
    </sheetView>
  </sheetViews>
  <sheetFormatPr defaultRowHeight="15"/>
  <cols>
    <col min="2" max="2" width="63.7109375" bestFit="1" customWidth="1"/>
    <col min="3" max="3" width="16.7109375" bestFit="1" customWidth="1"/>
    <col min="4" max="4" width="19.28515625" bestFit="1" customWidth="1"/>
  </cols>
  <sheetData>
    <row r="1" spans="2:7">
      <c r="B1" s="1105" t="s">
        <v>543</v>
      </c>
      <c r="C1" s="1106"/>
      <c r="D1" s="1106"/>
      <c r="E1" s="1106"/>
      <c r="F1" s="1106"/>
      <c r="G1" s="1107"/>
    </row>
    <row r="2" spans="2:7">
      <c r="B2" s="505" t="s">
        <v>257</v>
      </c>
      <c r="D2" s="506">
        <v>1</v>
      </c>
      <c r="E2" s="506">
        <v>1</v>
      </c>
      <c r="F2" s="506">
        <v>1</v>
      </c>
      <c r="G2" s="506">
        <v>1</v>
      </c>
    </row>
    <row r="3" spans="2:7">
      <c r="B3" s="1108" t="s">
        <v>258</v>
      </c>
      <c r="C3" s="1109"/>
      <c r="G3" s="594"/>
    </row>
    <row r="4" spans="2:7">
      <c r="B4" s="505"/>
      <c r="C4" s="134" t="s">
        <v>262</v>
      </c>
      <c r="D4" s="595">
        <v>1</v>
      </c>
      <c r="E4" s="595">
        <v>2</v>
      </c>
      <c r="F4" s="595">
        <v>3</v>
      </c>
      <c r="G4" s="596">
        <v>4</v>
      </c>
    </row>
    <row r="5" spans="2:7">
      <c r="B5" s="505" t="s">
        <v>298</v>
      </c>
      <c r="C5" s="146">
        <f>'Profitability - Current'!B5</f>
        <v>3842.6360000000004</v>
      </c>
      <c r="D5" s="146">
        <f>C5-C5*0.11</f>
        <v>3419.9460400000003</v>
      </c>
      <c r="E5" s="146">
        <f>'Cashflow 350 KTPA'!K11</f>
        <v>3094.3312153271104</v>
      </c>
      <c r="F5" s="146">
        <f>C5-C5*0.05</f>
        <v>3650.5042000000003</v>
      </c>
      <c r="G5" s="527">
        <f>'Cashflow 350 KTPA'!K11</f>
        <v>3094.3312153271104</v>
      </c>
    </row>
    <row r="6" spans="2:7">
      <c r="B6" s="505" t="s">
        <v>441</v>
      </c>
      <c r="C6" s="146">
        <f>'Profitability - Current'!B6</f>
        <v>2147.3445796268261</v>
      </c>
      <c r="D6" s="146">
        <f>SUM(D7:D12)</f>
        <v>2147.3445796268261</v>
      </c>
      <c r="E6" s="146">
        <f t="shared" ref="E6:F6" si="0">SUM(E7:E12)</f>
        <v>2413.8105046268261</v>
      </c>
      <c r="F6" s="146">
        <f t="shared" si="0"/>
        <v>2292.689629626826</v>
      </c>
      <c r="G6" s="527">
        <f>C6+C6*0.145</f>
        <v>2458.7095436727159</v>
      </c>
    </row>
    <row r="7" spans="2:7">
      <c r="B7" s="52" t="s">
        <v>28</v>
      </c>
      <c r="C7" s="146">
        <f>'Cashflow Current'!H14</f>
        <v>1614.9450000000002</v>
      </c>
      <c r="D7" s="146">
        <f>C7</f>
        <v>1614.9450000000002</v>
      </c>
      <c r="E7" s="146">
        <f>C7+C7*0.165</f>
        <v>1881.4109250000001</v>
      </c>
      <c r="F7" s="146">
        <f>C7+C7*0.09</f>
        <v>1760.2900500000001</v>
      </c>
      <c r="G7" s="527">
        <f>'Cashflow 350 KTPA'!K14</f>
        <v>917.68149773505479</v>
      </c>
    </row>
    <row r="8" spans="2:7">
      <c r="B8" s="52" t="s">
        <v>325</v>
      </c>
      <c r="C8" s="146">
        <f>'Cashflow Current'!H15</f>
        <v>155.41</v>
      </c>
      <c r="D8" s="146">
        <f t="shared" ref="D8:D12" si="1">C8</f>
        <v>155.41</v>
      </c>
      <c r="E8" s="146">
        <f>C8</f>
        <v>155.41</v>
      </c>
      <c r="F8" s="146">
        <f>C8</f>
        <v>155.41</v>
      </c>
      <c r="G8" s="527">
        <f>C8</f>
        <v>155.41</v>
      </c>
    </row>
    <row r="9" spans="2:7">
      <c r="B9" s="52" t="s">
        <v>29</v>
      </c>
      <c r="C9" s="146">
        <f>'Cashflow Current'!H16</f>
        <v>26.91</v>
      </c>
      <c r="D9" s="146">
        <f t="shared" si="1"/>
        <v>26.91</v>
      </c>
      <c r="E9" s="146">
        <f t="shared" ref="E9:E12" si="2">C9</f>
        <v>26.91</v>
      </c>
      <c r="F9" s="146">
        <f t="shared" ref="F9:F12" si="3">C9</f>
        <v>26.91</v>
      </c>
      <c r="G9" s="527">
        <f t="shared" ref="G9:G12" si="4">C9</f>
        <v>26.91</v>
      </c>
    </row>
    <row r="10" spans="2:7">
      <c r="B10" s="52" t="s">
        <v>17</v>
      </c>
      <c r="C10" s="146">
        <f>'Cashflow Current'!H17</f>
        <v>157.19999999999999</v>
      </c>
      <c r="D10" s="146">
        <f t="shared" si="1"/>
        <v>157.19999999999999</v>
      </c>
      <c r="E10" s="146">
        <f t="shared" si="2"/>
        <v>157.19999999999999</v>
      </c>
      <c r="F10" s="146">
        <f t="shared" si="3"/>
        <v>157.19999999999999</v>
      </c>
      <c r="G10" s="527">
        <f t="shared" si="4"/>
        <v>157.19999999999999</v>
      </c>
    </row>
    <row r="11" spans="2:7">
      <c r="B11" s="52" t="s">
        <v>20</v>
      </c>
      <c r="C11" s="146">
        <f>'Cashflow Current'!H18</f>
        <v>69.089377505903997</v>
      </c>
      <c r="D11" s="146">
        <f t="shared" si="1"/>
        <v>69.089377505903997</v>
      </c>
      <c r="E11" s="146">
        <f t="shared" si="2"/>
        <v>69.089377505903997</v>
      </c>
      <c r="F11" s="146">
        <f t="shared" si="3"/>
        <v>69.089377505903997</v>
      </c>
      <c r="G11" s="527">
        <f t="shared" si="4"/>
        <v>69.089377505903997</v>
      </c>
    </row>
    <row r="12" spans="2:7">
      <c r="B12" s="52" t="s">
        <v>21</v>
      </c>
      <c r="C12" s="146">
        <f>'Cashflow Current'!H19</f>
        <v>123.79020212092189</v>
      </c>
      <c r="D12" s="146">
        <f t="shared" si="1"/>
        <v>123.79020212092189</v>
      </c>
      <c r="E12" s="146">
        <f t="shared" si="2"/>
        <v>123.79020212092189</v>
      </c>
      <c r="F12" s="146">
        <f t="shared" si="3"/>
        <v>123.79020212092189</v>
      </c>
      <c r="G12" s="527">
        <f t="shared" si="4"/>
        <v>123.79020212092189</v>
      </c>
    </row>
    <row r="13" spans="2:7">
      <c r="B13" s="505" t="s">
        <v>442</v>
      </c>
      <c r="C13" s="146">
        <f t="shared" ref="C13:G13" si="5">C5-C6</f>
        <v>1695.2914203731743</v>
      </c>
      <c r="D13" s="146">
        <f t="shared" si="5"/>
        <v>1272.6014603731742</v>
      </c>
      <c r="E13" s="146">
        <f t="shared" si="5"/>
        <v>680.52071070028433</v>
      </c>
      <c r="F13" s="146">
        <f t="shared" si="5"/>
        <v>1357.8145703731743</v>
      </c>
      <c r="G13" s="527">
        <f t="shared" si="5"/>
        <v>635.6216716543945</v>
      </c>
    </row>
    <row r="14" spans="2:7">
      <c r="B14" s="505" t="s">
        <v>448</v>
      </c>
      <c r="C14" s="146">
        <f>'Cashflow 350 KTPA'!$G$8/10</f>
        <v>415.94497678079995</v>
      </c>
      <c r="D14" s="146">
        <f>'Cashflow 350 KTPA'!$G$8/10</f>
        <v>415.94497678079995</v>
      </c>
      <c r="E14" s="146">
        <f>'Cashflow 350 KTPA'!$G$8/10</f>
        <v>415.94497678079995</v>
      </c>
      <c r="F14" s="146">
        <f>'Cashflow 350 KTPA'!$G$8/10</f>
        <v>415.94497678079995</v>
      </c>
      <c r="G14" s="527">
        <f>'Cashflow 350 KTPA'!$G$8/10</f>
        <v>415.94497678079995</v>
      </c>
    </row>
    <row r="15" spans="2:7">
      <c r="B15" s="505" t="s">
        <v>449</v>
      </c>
      <c r="C15" s="146">
        <f t="shared" ref="C15:G15" si="6">C13-C14</f>
        <v>1279.3464435923743</v>
      </c>
      <c r="D15" s="146">
        <f t="shared" si="6"/>
        <v>856.65648359237423</v>
      </c>
      <c r="E15" s="146">
        <f t="shared" si="6"/>
        <v>264.57573391948438</v>
      </c>
      <c r="F15" s="146">
        <f t="shared" si="6"/>
        <v>941.86959359237437</v>
      </c>
      <c r="G15" s="527">
        <f t="shared" si="6"/>
        <v>219.67669487359456</v>
      </c>
    </row>
    <row r="16" spans="2:7">
      <c r="B16" s="505" t="s">
        <v>269</v>
      </c>
      <c r="C16" s="146">
        <f t="shared" ref="C16:G16" si="7">C15*0.2517</f>
        <v>322.01149985220059</v>
      </c>
      <c r="D16" s="146">
        <f t="shared" si="7"/>
        <v>215.62043692020058</v>
      </c>
      <c r="E16" s="146">
        <f t="shared" si="7"/>
        <v>66.593712227534212</v>
      </c>
      <c r="F16" s="146">
        <f t="shared" si="7"/>
        <v>237.06857670720061</v>
      </c>
      <c r="G16" s="527">
        <f t="shared" si="7"/>
        <v>55.292624099683742</v>
      </c>
    </row>
    <row r="17" spans="1:7">
      <c r="B17" s="509" t="s">
        <v>270</v>
      </c>
      <c r="C17" s="528">
        <f t="shared" ref="C17:G17" si="8">C15-C16</f>
        <v>957.33494374017369</v>
      </c>
      <c r="D17" s="528">
        <f t="shared" si="8"/>
        <v>641.0360466721736</v>
      </c>
      <c r="E17" s="528">
        <f t="shared" si="8"/>
        <v>197.98202169195017</v>
      </c>
      <c r="F17" s="528">
        <f t="shared" si="8"/>
        <v>704.80101688517379</v>
      </c>
      <c r="G17" s="529">
        <f t="shared" si="8"/>
        <v>164.38407077391082</v>
      </c>
    </row>
    <row r="18" spans="1:7">
      <c r="D18" s="597"/>
      <c r="E18" s="597"/>
      <c r="F18" s="597"/>
      <c r="G18" s="597"/>
    </row>
    <row r="19" spans="1:7">
      <c r="A19" s="526" t="s">
        <v>117</v>
      </c>
      <c r="B19" s="1111" t="s">
        <v>364</v>
      </c>
      <c r="C19" s="1112"/>
      <c r="D19" s="1112"/>
    </row>
    <row r="20" spans="1:7">
      <c r="A20" s="523"/>
      <c r="B20" s="343" t="s">
        <v>358</v>
      </c>
      <c r="C20" s="344" t="s">
        <v>270</v>
      </c>
      <c r="D20" s="601" t="s">
        <v>492</v>
      </c>
    </row>
    <row r="21" spans="1:7">
      <c r="A21" s="524"/>
      <c r="B21" s="345" t="s">
        <v>491</v>
      </c>
      <c r="C21" s="598">
        <f>C17</f>
        <v>957.33494374017369</v>
      </c>
      <c r="D21" s="602" t="s">
        <v>493</v>
      </c>
    </row>
    <row r="22" spans="1:7">
      <c r="A22" s="524">
        <v>1</v>
      </c>
      <c r="B22" s="345" t="s">
        <v>360</v>
      </c>
      <c r="C22" s="599">
        <f>D17</f>
        <v>641.0360466721736</v>
      </c>
      <c r="D22" s="923">
        <f>(C22-$C$21)/$C$21</f>
        <v>-0.33039522806120974</v>
      </c>
    </row>
    <row r="23" spans="1:7">
      <c r="A23" s="524">
        <v>2</v>
      </c>
      <c r="B23" s="345" t="s">
        <v>361</v>
      </c>
      <c r="C23" s="599">
        <f>E17</f>
        <v>197.98202169195017</v>
      </c>
      <c r="D23" s="923">
        <f t="shared" ref="D23:D25" si="9">(C23-$C$21)/$C$21</f>
        <v>-0.79319461491872201</v>
      </c>
    </row>
    <row r="24" spans="1:7">
      <c r="A24" s="524">
        <v>3</v>
      </c>
      <c r="B24" s="345" t="s">
        <v>362</v>
      </c>
      <c r="C24" s="599">
        <f>F17</f>
        <v>704.80101688517379</v>
      </c>
      <c r="D24" s="923">
        <f t="shared" si="9"/>
        <v>-0.26378847706988023</v>
      </c>
    </row>
    <row r="25" spans="1:7">
      <c r="A25" s="525">
        <v>4</v>
      </c>
      <c r="B25" s="349" t="s">
        <v>363</v>
      </c>
      <c r="C25" s="600">
        <f>G17</f>
        <v>164.38407077391082</v>
      </c>
      <c r="D25" s="924">
        <f t="shared" si="9"/>
        <v>-0.82828990851239037</v>
      </c>
    </row>
  </sheetData>
  <mergeCells count="3">
    <mergeCell ref="B1:G1"/>
    <mergeCell ref="B3:C3"/>
    <mergeCell ref="B19:D19"/>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79EB-4F03-4087-A3E1-71B633FFD973}">
  <sheetPr codeName="Sheet34"/>
  <dimension ref="A1:M27"/>
  <sheetViews>
    <sheetView showGridLines="0" topLeftCell="WVD12" zoomScaleNormal="100" zoomScaleSheetLayoutView="98" workbookViewId="0">
      <selection activeCell="WVP27" sqref="WVP27"/>
    </sheetView>
  </sheetViews>
  <sheetFormatPr defaultRowHeight="12.75"/>
  <cols>
    <col min="1" max="1" width="4.85546875" style="123" customWidth="1"/>
    <col min="2" max="2" width="63.7109375" style="123" bestFit="1" customWidth="1"/>
    <col min="3" max="3" width="20.7109375" style="123" customWidth="1"/>
    <col min="4" max="4" width="9.140625" style="123"/>
    <col min="5" max="5" width="11.85546875" style="123" customWidth="1"/>
    <col min="6" max="6" width="11.7109375" style="123" customWidth="1"/>
    <col min="7" max="7" width="12.42578125" style="123" customWidth="1"/>
    <col min="8" max="8" width="13.42578125" style="123" customWidth="1"/>
    <col min="9" max="257" width="9.140625" style="123"/>
    <col min="258" max="258" width="49.140625" style="123" customWidth="1"/>
    <col min="259" max="259" width="20.7109375" style="123" customWidth="1"/>
    <col min="260" max="260" width="9.140625" style="123"/>
    <col min="261" max="261" width="11.85546875" style="123" customWidth="1"/>
    <col min="262" max="262" width="11.7109375" style="123" customWidth="1"/>
    <col min="263" max="263" width="12.42578125" style="123" customWidth="1"/>
    <col min="264" max="264" width="13.42578125" style="123" customWidth="1"/>
    <col min="265" max="513" width="9.140625" style="123"/>
    <col min="514" max="514" width="49.140625" style="123" customWidth="1"/>
    <col min="515" max="515" width="20.7109375" style="123" customWidth="1"/>
    <col min="516" max="516" width="9.140625" style="123"/>
    <col min="517" max="517" width="11.85546875" style="123" customWidth="1"/>
    <col min="518" max="518" width="11.7109375" style="123" customWidth="1"/>
    <col min="519" max="519" width="12.42578125" style="123" customWidth="1"/>
    <col min="520" max="520" width="13.42578125" style="123" customWidth="1"/>
    <col min="521" max="769" width="9.140625" style="123"/>
    <col min="770" max="770" width="49.140625" style="123" customWidth="1"/>
    <col min="771" max="771" width="20.7109375" style="123" customWidth="1"/>
    <col min="772" max="772" width="9.140625" style="123"/>
    <col min="773" max="773" width="11.85546875" style="123" customWidth="1"/>
    <col min="774" max="774" width="11.7109375" style="123" customWidth="1"/>
    <col min="775" max="775" width="12.42578125" style="123" customWidth="1"/>
    <col min="776" max="776" width="13.42578125" style="123" customWidth="1"/>
    <col min="777" max="1025" width="9.140625" style="123"/>
    <col min="1026" max="1026" width="49.140625" style="123" customWidth="1"/>
    <col min="1027" max="1027" width="20.7109375" style="123" customWidth="1"/>
    <col min="1028" max="1028" width="9.140625" style="123"/>
    <col min="1029" max="1029" width="11.85546875" style="123" customWidth="1"/>
    <col min="1030" max="1030" width="11.7109375" style="123" customWidth="1"/>
    <col min="1031" max="1031" width="12.42578125" style="123" customWidth="1"/>
    <col min="1032" max="1032" width="13.42578125" style="123" customWidth="1"/>
    <col min="1033" max="1281" width="9.140625" style="123"/>
    <col min="1282" max="1282" width="49.140625" style="123" customWidth="1"/>
    <col min="1283" max="1283" width="20.7109375" style="123" customWidth="1"/>
    <col min="1284" max="1284" width="9.140625" style="123"/>
    <col min="1285" max="1285" width="11.85546875" style="123" customWidth="1"/>
    <col min="1286" max="1286" width="11.7109375" style="123" customWidth="1"/>
    <col min="1287" max="1287" width="12.42578125" style="123" customWidth="1"/>
    <col min="1288" max="1288" width="13.42578125" style="123" customWidth="1"/>
    <col min="1289" max="1537" width="9.140625" style="123"/>
    <col min="1538" max="1538" width="49.140625" style="123" customWidth="1"/>
    <col min="1539" max="1539" width="20.7109375" style="123" customWidth="1"/>
    <col min="1540" max="1540" width="9.140625" style="123"/>
    <col min="1541" max="1541" width="11.85546875" style="123" customWidth="1"/>
    <col min="1542" max="1542" width="11.7109375" style="123" customWidth="1"/>
    <col min="1543" max="1543" width="12.42578125" style="123" customWidth="1"/>
    <col min="1544" max="1544" width="13.42578125" style="123" customWidth="1"/>
    <col min="1545" max="1793" width="9.140625" style="123"/>
    <col min="1794" max="1794" width="49.140625" style="123" customWidth="1"/>
    <col min="1795" max="1795" width="20.7109375" style="123" customWidth="1"/>
    <col min="1796" max="1796" width="9.140625" style="123"/>
    <col min="1797" max="1797" width="11.85546875" style="123" customWidth="1"/>
    <col min="1798" max="1798" width="11.7109375" style="123" customWidth="1"/>
    <col min="1799" max="1799" width="12.42578125" style="123" customWidth="1"/>
    <col min="1800" max="1800" width="13.42578125" style="123" customWidth="1"/>
    <col min="1801" max="2049" width="9.140625" style="123"/>
    <col min="2050" max="2050" width="49.140625" style="123" customWidth="1"/>
    <col min="2051" max="2051" width="20.7109375" style="123" customWidth="1"/>
    <col min="2052" max="2052" width="9.140625" style="123"/>
    <col min="2053" max="2053" width="11.85546875" style="123" customWidth="1"/>
    <col min="2054" max="2054" width="11.7109375" style="123" customWidth="1"/>
    <col min="2055" max="2055" width="12.42578125" style="123" customWidth="1"/>
    <col min="2056" max="2056" width="13.42578125" style="123" customWidth="1"/>
    <col min="2057" max="2305" width="9.140625" style="123"/>
    <col min="2306" max="2306" width="49.140625" style="123" customWidth="1"/>
    <col min="2307" max="2307" width="20.7109375" style="123" customWidth="1"/>
    <col min="2308" max="2308" width="9.140625" style="123"/>
    <col min="2309" max="2309" width="11.85546875" style="123" customWidth="1"/>
    <col min="2310" max="2310" width="11.7109375" style="123" customWidth="1"/>
    <col min="2311" max="2311" width="12.42578125" style="123" customWidth="1"/>
    <col min="2312" max="2312" width="13.42578125" style="123" customWidth="1"/>
    <col min="2313" max="2561" width="9.140625" style="123"/>
    <col min="2562" max="2562" width="49.140625" style="123" customWidth="1"/>
    <col min="2563" max="2563" width="20.7109375" style="123" customWidth="1"/>
    <col min="2564" max="2564" width="9.140625" style="123"/>
    <col min="2565" max="2565" width="11.85546875" style="123" customWidth="1"/>
    <col min="2566" max="2566" width="11.7109375" style="123" customWidth="1"/>
    <col min="2567" max="2567" width="12.42578125" style="123" customWidth="1"/>
    <col min="2568" max="2568" width="13.42578125" style="123" customWidth="1"/>
    <col min="2569" max="2817" width="9.140625" style="123"/>
    <col min="2818" max="2818" width="49.140625" style="123" customWidth="1"/>
    <col min="2819" max="2819" width="20.7109375" style="123" customWidth="1"/>
    <col min="2820" max="2820" width="9.140625" style="123"/>
    <col min="2821" max="2821" width="11.85546875" style="123" customWidth="1"/>
    <col min="2822" max="2822" width="11.7109375" style="123" customWidth="1"/>
    <col min="2823" max="2823" width="12.42578125" style="123" customWidth="1"/>
    <col min="2824" max="2824" width="13.42578125" style="123" customWidth="1"/>
    <col min="2825" max="3073" width="9.140625" style="123"/>
    <col min="3074" max="3074" width="49.140625" style="123" customWidth="1"/>
    <col min="3075" max="3075" width="20.7109375" style="123" customWidth="1"/>
    <col min="3076" max="3076" width="9.140625" style="123"/>
    <col min="3077" max="3077" width="11.85546875" style="123" customWidth="1"/>
    <col min="3078" max="3078" width="11.7109375" style="123" customWidth="1"/>
    <col min="3079" max="3079" width="12.42578125" style="123" customWidth="1"/>
    <col min="3080" max="3080" width="13.42578125" style="123" customWidth="1"/>
    <col min="3081" max="3329" width="9.140625" style="123"/>
    <col min="3330" max="3330" width="49.140625" style="123" customWidth="1"/>
    <col min="3331" max="3331" width="20.7109375" style="123" customWidth="1"/>
    <col min="3332" max="3332" width="9.140625" style="123"/>
    <col min="3333" max="3333" width="11.85546875" style="123" customWidth="1"/>
    <col min="3334" max="3334" width="11.7109375" style="123" customWidth="1"/>
    <col min="3335" max="3335" width="12.42578125" style="123" customWidth="1"/>
    <col min="3336" max="3336" width="13.42578125" style="123" customWidth="1"/>
    <col min="3337" max="3585" width="9.140625" style="123"/>
    <col min="3586" max="3586" width="49.140625" style="123" customWidth="1"/>
    <col min="3587" max="3587" width="20.7109375" style="123" customWidth="1"/>
    <col min="3588" max="3588" width="9.140625" style="123"/>
    <col min="3589" max="3589" width="11.85546875" style="123" customWidth="1"/>
    <col min="3590" max="3590" width="11.7109375" style="123" customWidth="1"/>
    <col min="3591" max="3591" width="12.42578125" style="123" customWidth="1"/>
    <col min="3592" max="3592" width="13.42578125" style="123" customWidth="1"/>
    <col min="3593" max="3841" width="9.140625" style="123"/>
    <col min="3842" max="3842" width="49.140625" style="123" customWidth="1"/>
    <col min="3843" max="3843" width="20.7109375" style="123" customWidth="1"/>
    <col min="3844" max="3844" width="9.140625" style="123"/>
    <col min="3845" max="3845" width="11.85546875" style="123" customWidth="1"/>
    <col min="3846" max="3846" width="11.7109375" style="123" customWidth="1"/>
    <col min="3847" max="3847" width="12.42578125" style="123" customWidth="1"/>
    <col min="3848" max="3848" width="13.42578125" style="123" customWidth="1"/>
    <col min="3849" max="4097" width="9.140625" style="123"/>
    <col min="4098" max="4098" width="49.140625" style="123" customWidth="1"/>
    <col min="4099" max="4099" width="20.7109375" style="123" customWidth="1"/>
    <col min="4100" max="4100" width="9.140625" style="123"/>
    <col min="4101" max="4101" width="11.85546875" style="123" customWidth="1"/>
    <col min="4102" max="4102" width="11.7109375" style="123" customWidth="1"/>
    <col min="4103" max="4103" width="12.42578125" style="123" customWidth="1"/>
    <col min="4104" max="4104" width="13.42578125" style="123" customWidth="1"/>
    <col min="4105" max="4353" width="9.140625" style="123"/>
    <col min="4354" max="4354" width="49.140625" style="123" customWidth="1"/>
    <col min="4355" max="4355" width="20.7109375" style="123" customWidth="1"/>
    <col min="4356" max="4356" width="9.140625" style="123"/>
    <col min="4357" max="4357" width="11.85546875" style="123" customWidth="1"/>
    <col min="4358" max="4358" width="11.7109375" style="123" customWidth="1"/>
    <col min="4359" max="4359" width="12.42578125" style="123" customWidth="1"/>
    <col min="4360" max="4360" width="13.42578125" style="123" customWidth="1"/>
    <col min="4361" max="4609" width="9.140625" style="123"/>
    <col min="4610" max="4610" width="49.140625" style="123" customWidth="1"/>
    <col min="4611" max="4611" width="20.7109375" style="123" customWidth="1"/>
    <col min="4612" max="4612" width="9.140625" style="123"/>
    <col min="4613" max="4613" width="11.85546875" style="123" customWidth="1"/>
    <col min="4614" max="4614" width="11.7109375" style="123" customWidth="1"/>
    <col min="4615" max="4615" width="12.42578125" style="123" customWidth="1"/>
    <col min="4616" max="4616" width="13.42578125" style="123" customWidth="1"/>
    <col min="4617" max="4865" width="9.140625" style="123"/>
    <col min="4866" max="4866" width="49.140625" style="123" customWidth="1"/>
    <col min="4867" max="4867" width="20.7109375" style="123" customWidth="1"/>
    <col min="4868" max="4868" width="9.140625" style="123"/>
    <col min="4869" max="4869" width="11.85546875" style="123" customWidth="1"/>
    <col min="4870" max="4870" width="11.7109375" style="123" customWidth="1"/>
    <col min="4871" max="4871" width="12.42578125" style="123" customWidth="1"/>
    <col min="4872" max="4872" width="13.42578125" style="123" customWidth="1"/>
    <col min="4873" max="5121" width="9.140625" style="123"/>
    <col min="5122" max="5122" width="49.140625" style="123" customWidth="1"/>
    <col min="5123" max="5123" width="20.7109375" style="123" customWidth="1"/>
    <col min="5124" max="5124" width="9.140625" style="123"/>
    <col min="5125" max="5125" width="11.85546875" style="123" customWidth="1"/>
    <col min="5126" max="5126" width="11.7109375" style="123" customWidth="1"/>
    <col min="5127" max="5127" width="12.42578125" style="123" customWidth="1"/>
    <col min="5128" max="5128" width="13.42578125" style="123" customWidth="1"/>
    <col min="5129" max="5377" width="9.140625" style="123"/>
    <col min="5378" max="5378" width="49.140625" style="123" customWidth="1"/>
    <col min="5379" max="5379" width="20.7109375" style="123" customWidth="1"/>
    <col min="5380" max="5380" width="9.140625" style="123"/>
    <col min="5381" max="5381" width="11.85546875" style="123" customWidth="1"/>
    <col min="5382" max="5382" width="11.7109375" style="123" customWidth="1"/>
    <col min="5383" max="5383" width="12.42578125" style="123" customWidth="1"/>
    <col min="5384" max="5384" width="13.42578125" style="123" customWidth="1"/>
    <col min="5385" max="5633" width="9.140625" style="123"/>
    <col min="5634" max="5634" width="49.140625" style="123" customWidth="1"/>
    <col min="5635" max="5635" width="20.7109375" style="123" customWidth="1"/>
    <col min="5636" max="5636" width="9.140625" style="123"/>
    <col min="5637" max="5637" width="11.85546875" style="123" customWidth="1"/>
    <col min="5638" max="5638" width="11.7109375" style="123" customWidth="1"/>
    <col min="5639" max="5639" width="12.42578125" style="123" customWidth="1"/>
    <col min="5640" max="5640" width="13.42578125" style="123" customWidth="1"/>
    <col min="5641" max="5889" width="9.140625" style="123"/>
    <col min="5890" max="5890" width="49.140625" style="123" customWidth="1"/>
    <col min="5891" max="5891" width="20.7109375" style="123" customWidth="1"/>
    <col min="5892" max="5892" width="9.140625" style="123"/>
    <col min="5893" max="5893" width="11.85546875" style="123" customWidth="1"/>
    <col min="5894" max="5894" width="11.7109375" style="123" customWidth="1"/>
    <col min="5895" max="5895" width="12.42578125" style="123" customWidth="1"/>
    <col min="5896" max="5896" width="13.42578125" style="123" customWidth="1"/>
    <col min="5897" max="6145" width="9.140625" style="123"/>
    <col min="6146" max="6146" width="49.140625" style="123" customWidth="1"/>
    <col min="6147" max="6147" width="20.7109375" style="123" customWidth="1"/>
    <col min="6148" max="6148" width="9.140625" style="123"/>
    <col min="6149" max="6149" width="11.85546875" style="123" customWidth="1"/>
    <col min="6150" max="6150" width="11.7109375" style="123" customWidth="1"/>
    <col min="6151" max="6151" width="12.42578125" style="123" customWidth="1"/>
    <col min="6152" max="6152" width="13.42578125" style="123" customWidth="1"/>
    <col min="6153" max="6401" width="9.140625" style="123"/>
    <col min="6402" max="6402" width="49.140625" style="123" customWidth="1"/>
    <col min="6403" max="6403" width="20.7109375" style="123" customWidth="1"/>
    <col min="6404" max="6404" width="9.140625" style="123"/>
    <col min="6405" max="6405" width="11.85546875" style="123" customWidth="1"/>
    <col min="6406" max="6406" width="11.7109375" style="123" customWidth="1"/>
    <col min="6407" max="6407" width="12.42578125" style="123" customWidth="1"/>
    <col min="6408" max="6408" width="13.42578125" style="123" customWidth="1"/>
    <col min="6409" max="6657" width="9.140625" style="123"/>
    <col min="6658" max="6658" width="49.140625" style="123" customWidth="1"/>
    <col min="6659" max="6659" width="20.7109375" style="123" customWidth="1"/>
    <col min="6660" max="6660" width="9.140625" style="123"/>
    <col min="6661" max="6661" width="11.85546875" style="123" customWidth="1"/>
    <col min="6662" max="6662" width="11.7109375" style="123" customWidth="1"/>
    <col min="6663" max="6663" width="12.42578125" style="123" customWidth="1"/>
    <col min="6664" max="6664" width="13.42578125" style="123" customWidth="1"/>
    <col min="6665" max="6913" width="9.140625" style="123"/>
    <col min="6914" max="6914" width="49.140625" style="123" customWidth="1"/>
    <col min="6915" max="6915" width="20.7109375" style="123" customWidth="1"/>
    <col min="6916" max="6916" width="9.140625" style="123"/>
    <col min="6917" max="6917" width="11.85546875" style="123" customWidth="1"/>
    <col min="6918" max="6918" width="11.7109375" style="123" customWidth="1"/>
    <col min="6919" max="6919" width="12.42578125" style="123" customWidth="1"/>
    <col min="6920" max="6920" width="13.42578125" style="123" customWidth="1"/>
    <col min="6921" max="7169" width="9.140625" style="123"/>
    <col min="7170" max="7170" width="49.140625" style="123" customWidth="1"/>
    <col min="7171" max="7171" width="20.7109375" style="123" customWidth="1"/>
    <col min="7172" max="7172" width="9.140625" style="123"/>
    <col min="7173" max="7173" width="11.85546875" style="123" customWidth="1"/>
    <col min="7174" max="7174" width="11.7109375" style="123" customWidth="1"/>
    <col min="7175" max="7175" width="12.42578125" style="123" customWidth="1"/>
    <col min="7176" max="7176" width="13.42578125" style="123" customWidth="1"/>
    <col min="7177" max="7425" width="9.140625" style="123"/>
    <col min="7426" max="7426" width="49.140625" style="123" customWidth="1"/>
    <col min="7427" max="7427" width="20.7109375" style="123" customWidth="1"/>
    <col min="7428" max="7428" width="9.140625" style="123"/>
    <col min="7429" max="7429" width="11.85546875" style="123" customWidth="1"/>
    <col min="7430" max="7430" width="11.7109375" style="123" customWidth="1"/>
    <col min="7431" max="7431" width="12.42578125" style="123" customWidth="1"/>
    <col min="7432" max="7432" width="13.42578125" style="123" customWidth="1"/>
    <col min="7433" max="7681" width="9.140625" style="123"/>
    <col min="7682" max="7682" width="49.140625" style="123" customWidth="1"/>
    <col min="7683" max="7683" width="20.7109375" style="123" customWidth="1"/>
    <col min="7684" max="7684" width="9.140625" style="123"/>
    <col min="7685" max="7685" width="11.85546875" style="123" customWidth="1"/>
    <col min="7686" max="7686" width="11.7109375" style="123" customWidth="1"/>
    <col min="7687" max="7687" width="12.42578125" style="123" customWidth="1"/>
    <col min="7688" max="7688" width="13.42578125" style="123" customWidth="1"/>
    <col min="7689" max="7937" width="9.140625" style="123"/>
    <col min="7938" max="7938" width="49.140625" style="123" customWidth="1"/>
    <col min="7939" max="7939" width="20.7109375" style="123" customWidth="1"/>
    <col min="7940" max="7940" width="9.140625" style="123"/>
    <col min="7941" max="7941" width="11.85546875" style="123" customWidth="1"/>
    <col min="7942" max="7942" width="11.7109375" style="123" customWidth="1"/>
    <col min="7943" max="7943" width="12.42578125" style="123" customWidth="1"/>
    <col min="7944" max="7944" width="13.42578125" style="123" customWidth="1"/>
    <col min="7945" max="8193" width="9.140625" style="123"/>
    <col min="8194" max="8194" width="49.140625" style="123" customWidth="1"/>
    <col min="8195" max="8195" width="20.7109375" style="123" customWidth="1"/>
    <col min="8196" max="8196" width="9.140625" style="123"/>
    <col min="8197" max="8197" width="11.85546875" style="123" customWidth="1"/>
    <col min="8198" max="8198" width="11.7109375" style="123" customWidth="1"/>
    <col min="8199" max="8199" width="12.42578125" style="123" customWidth="1"/>
    <col min="8200" max="8200" width="13.42578125" style="123" customWidth="1"/>
    <col min="8201" max="8449" width="9.140625" style="123"/>
    <col min="8450" max="8450" width="49.140625" style="123" customWidth="1"/>
    <col min="8451" max="8451" width="20.7109375" style="123" customWidth="1"/>
    <col min="8452" max="8452" width="9.140625" style="123"/>
    <col min="8453" max="8453" width="11.85546875" style="123" customWidth="1"/>
    <col min="8454" max="8454" width="11.7109375" style="123" customWidth="1"/>
    <col min="8455" max="8455" width="12.42578125" style="123" customWidth="1"/>
    <col min="8456" max="8456" width="13.42578125" style="123" customWidth="1"/>
    <col min="8457" max="8705" width="9.140625" style="123"/>
    <col min="8706" max="8706" width="49.140625" style="123" customWidth="1"/>
    <col min="8707" max="8707" width="20.7109375" style="123" customWidth="1"/>
    <col min="8708" max="8708" width="9.140625" style="123"/>
    <col min="8709" max="8709" width="11.85546875" style="123" customWidth="1"/>
    <col min="8710" max="8710" width="11.7109375" style="123" customWidth="1"/>
    <col min="8711" max="8711" width="12.42578125" style="123" customWidth="1"/>
    <col min="8712" max="8712" width="13.42578125" style="123" customWidth="1"/>
    <col min="8713" max="8961" width="9.140625" style="123"/>
    <col min="8962" max="8962" width="49.140625" style="123" customWidth="1"/>
    <col min="8963" max="8963" width="20.7109375" style="123" customWidth="1"/>
    <col min="8964" max="8964" width="9.140625" style="123"/>
    <col min="8965" max="8965" width="11.85546875" style="123" customWidth="1"/>
    <col min="8966" max="8966" width="11.7109375" style="123" customWidth="1"/>
    <col min="8967" max="8967" width="12.42578125" style="123" customWidth="1"/>
    <col min="8968" max="8968" width="13.42578125" style="123" customWidth="1"/>
    <col min="8969" max="9217" width="9.140625" style="123"/>
    <col min="9218" max="9218" width="49.140625" style="123" customWidth="1"/>
    <col min="9219" max="9219" width="20.7109375" style="123" customWidth="1"/>
    <col min="9220" max="9220" width="9.140625" style="123"/>
    <col min="9221" max="9221" width="11.85546875" style="123" customWidth="1"/>
    <col min="9222" max="9222" width="11.7109375" style="123" customWidth="1"/>
    <col min="9223" max="9223" width="12.42578125" style="123" customWidth="1"/>
    <col min="9224" max="9224" width="13.42578125" style="123" customWidth="1"/>
    <col min="9225" max="9473" width="9.140625" style="123"/>
    <col min="9474" max="9474" width="49.140625" style="123" customWidth="1"/>
    <col min="9475" max="9475" width="20.7109375" style="123" customWidth="1"/>
    <col min="9476" max="9476" width="9.140625" style="123"/>
    <col min="9477" max="9477" width="11.85546875" style="123" customWidth="1"/>
    <col min="9478" max="9478" width="11.7109375" style="123" customWidth="1"/>
    <col min="9479" max="9479" width="12.42578125" style="123" customWidth="1"/>
    <col min="9480" max="9480" width="13.42578125" style="123" customWidth="1"/>
    <col min="9481" max="9729" width="9.140625" style="123"/>
    <col min="9730" max="9730" width="49.140625" style="123" customWidth="1"/>
    <col min="9731" max="9731" width="20.7109375" style="123" customWidth="1"/>
    <col min="9732" max="9732" width="9.140625" style="123"/>
    <col min="9733" max="9733" width="11.85546875" style="123" customWidth="1"/>
    <col min="9734" max="9734" width="11.7109375" style="123" customWidth="1"/>
    <col min="9735" max="9735" width="12.42578125" style="123" customWidth="1"/>
    <col min="9736" max="9736" width="13.42578125" style="123" customWidth="1"/>
    <col min="9737" max="9985" width="9.140625" style="123"/>
    <col min="9986" max="9986" width="49.140625" style="123" customWidth="1"/>
    <col min="9987" max="9987" width="20.7109375" style="123" customWidth="1"/>
    <col min="9988" max="9988" width="9.140625" style="123"/>
    <col min="9989" max="9989" width="11.85546875" style="123" customWidth="1"/>
    <col min="9990" max="9990" width="11.7109375" style="123" customWidth="1"/>
    <col min="9991" max="9991" width="12.42578125" style="123" customWidth="1"/>
    <col min="9992" max="9992" width="13.42578125" style="123" customWidth="1"/>
    <col min="9993" max="10241" width="9.140625" style="123"/>
    <col min="10242" max="10242" width="49.140625" style="123" customWidth="1"/>
    <col min="10243" max="10243" width="20.7109375" style="123" customWidth="1"/>
    <col min="10244" max="10244" width="9.140625" style="123"/>
    <col min="10245" max="10245" width="11.85546875" style="123" customWidth="1"/>
    <col min="10246" max="10246" width="11.7109375" style="123" customWidth="1"/>
    <col min="10247" max="10247" width="12.42578125" style="123" customWidth="1"/>
    <col min="10248" max="10248" width="13.42578125" style="123" customWidth="1"/>
    <col min="10249" max="10497" width="9.140625" style="123"/>
    <col min="10498" max="10498" width="49.140625" style="123" customWidth="1"/>
    <col min="10499" max="10499" width="20.7109375" style="123" customWidth="1"/>
    <col min="10500" max="10500" width="9.140625" style="123"/>
    <col min="10501" max="10501" width="11.85546875" style="123" customWidth="1"/>
    <col min="10502" max="10502" width="11.7109375" style="123" customWidth="1"/>
    <col min="10503" max="10503" width="12.42578125" style="123" customWidth="1"/>
    <col min="10504" max="10504" width="13.42578125" style="123" customWidth="1"/>
    <col min="10505" max="10753" width="9.140625" style="123"/>
    <col min="10754" max="10754" width="49.140625" style="123" customWidth="1"/>
    <col min="10755" max="10755" width="20.7109375" style="123" customWidth="1"/>
    <col min="10756" max="10756" width="9.140625" style="123"/>
    <col min="10757" max="10757" width="11.85546875" style="123" customWidth="1"/>
    <col min="10758" max="10758" width="11.7109375" style="123" customWidth="1"/>
    <col min="10759" max="10759" width="12.42578125" style="123" customWidth="1"/>
    <col min="10760" max="10760" width="13.42578125" style="123" customWidth="1"/>
    <col min="10761" max="11009" width="9.140625" style="123"/>
    <col min="11010" max="11010" width="49.140625" style="123" customWidth="1"/>
    <col min="11011" max="11011" width="20.7109375" style="123" customWidth="1"/>
    <col min="11012" max="11012" width="9.140625" style="123"/>
    <col min="11013" max="11013" width="11.85546875" style="123" customWidth="1"/>
    <col min="11014" max="11014" width="11.7109375" style="123" customWidth="1"/>
    <col min="11015" max="11015" width="12.42578125" style="123" customWidth="1"/>
    <col min="11016" max="11016" width="13.42578125" style="123" customWidth="1"/>
    <col min="11017" max="11265" width="9.140625" style="123"/>
    <col min="11266" max="11266" width="49.140625" style="123" customWidth="1"/>
    <col min="11267" max="11267" width="20.7109375" style="123" customWidth="1"/>
    <col min="11268" max="11268" width="9.140625" style="123"/>
    <col min="11269" max="11269" width="11.85546875" style="123" customWidth="1"/>
    <col min="11270" max="11270" width="11.7109375" style="123" customWidth="1"/>
    <col min="11271" max="11271" width="12.42578125" style="123" customWidth="1"/>
    <col min="11272" max="11272" width="13.42578125" style="123" customWidth="1"/>
    <col min="11273" max="11521" width="9.140625" style="123"/>
    <col min="11522" max="11522" width="49.140625" style="123" customWidth="1"/>
    <col min="11523" max="11523" width="20.7109375" style="123" customWidth="1"/>
    <col min="11524" max="11524" width="9.140625" style="123"/>
    <col min="11525" max="11525" width="11.85546875" style="123" customWidth="1"/>
    <col min="11526" max="11526" width="11.7109375" style="123" customWidth="1"/>
    <col min="11527" max="11527" width="12.42578125" style="123" customWidth="1"/>
    <col min="11528" max="11528" width="13.42578125" style="123" customWidth="1"/>
    <col min="11529" max="11777" width="9.140625" style="123"/>
    <col min="11778" max="11778" width="49.140625" style="123" customWidth="1"/>
    <col min="11779" max="11779" width="20.7109375" style="123" customWidth="1"/>
    <col min="11780" max="11780" width="9.140625" style="123"/>
    <col min="11781" max="11781" width="11.85546875" style="123" customWidth="1"/>
    <col min="11782" max="11782" width="11.7109375" style="123" customWidth="1"/>
    <col min="11783" max="11783" width="12.42578125" style="123" customWidth="1"/>
    <col min="11784" max="11784" width="13.42578125" style="123" customWidth="1"/>
    <col min="11785" max="12033" width="9.140625" style="123"/>
    <col min="12034" max="12034" width="49.140625" style="123" customWidth="1"/>
    <col min="12035" max="12035" width="20.7109375" style="123" customWidth="1"/>
    <col min="12036" max="12036" width="9.140625" style="123"/>
    <col min="12037" max="12037" width="11.85546875" style="123" customWidth="1"/>
    <col min="12038" max="12038" width="11.7109375" style="123" customWidth="1"/>
    <col min="12039" max="12039" width="12.42578125" style="123" customWidth="1"/>
    <col min="12040" max="12040" width="13.42578125" style="123" customWidth="1"/>
    <col min="12041" max="12289" width="9.140625" style="123"/>
    <col min="12290" max="12290" width="49.140625" style="123" customWidth="1"/>
    <col min="12291" max="12291" width="20.7109375" style="123" customWidth="1"/>
    <col min="12292" max="12292" width="9.140625" style="123"/>
    <col min="12293" max="12293" width="11.85546875" style="123" customWidth="1"/>
    <col min="12294" max="12294" width="11.7109375" style="123" customWidth="1"/>
    <col min="12295" max="12295" width="12.42578125" style="123" customWidth="1"/>
    <col min="12296" max="12296" width="13.42578125" style="123" customWidth="1"/>
    <col min="12297" max="12545" width="9.140625" style="123"/>
    <col min="12546" max="12546" width="49.140625" style="123" customWidth="1"/>
    <col min="12547" max="12547" width="20.7109375" style="123" customWidth="1"/>
    <col min="12548" max="12548" width="9.140625" style="123"/>
    <col min="12549" max="12549" width="11.85546875" style="123" customWidth="1"/>
    <col min="12550" max="12550" width="11.7109375" style="123" customWidth="1"/>
    <col min="12551" max="12551" width="12.42578125" style="123" customWidth="1"/>
    <col min="12552" max="12552" width="13.42578125" style="123" customWidth="1"/>
    <col min="12553" max="12801" width="9.140625" style="123"/>
    <col min="12802" max="12802" width="49.140625" style="123" customWidth="1"/>
    <col min="12803" max="12803" width="20.7109375" style="123" customWidth="1"/>
    <col min="12804" max="12804" width="9.140625" style="123"/>
    <col min="12805" max="12805" width="11.85546875" style="123" customWidth="1"/>
    <col min="12806" max="12806" width="11.7109375" style="123" customWidth="1"/>
    <col min="12807" max="12807" width="12.42578125" style="123" customWidth="1"/>
    <col min="12808" max="12808" width="13.42578125" style="123" customWidth="1"/>
    <col min="12809" max="13057" width="9.140625" style="123"/>
    <col min="13058" max="13058" width="49.140625" style="123" customWidth="1"/>
    <col min="13059" max="13059" width="20.7109375" style="123" customWidth="1"/>
    <col min="13060" max="13060" width="9.140625" style="123"/>
    <col min="13061" max="13061" width="11.85546875" style="123" customWidth="1"/>
    <col min="13062" max="13062" width="11.7109375" style="123" customWidth="1"/>
    <col min="13063" max="13063" width="12.42578125" style="123" customWidth="1"/>
    <col min="13064" max="13064" width="13.42578125" style="123" customWidth="1"/>
    <col min="13065" max="13313" width="9.140625" style="123"/>
    <col min="13314" max="13314" width="49.140625" style="123" customWidth="1"/>
    <col min="13315" max="13315" width="20.7109375" style="123" customWidth="1"/>
    <col min="13316" max="13316" width="9.140625" style="123"/>
    <col min="13317" max="13317" width="11.85546875" style="123" customWidth="1"/>
    <col min="13318" max="13318" width="11.7109375" style="123" customWidth="1"/>
    <col min="13319" max="13319" width="12.42578125" style="123" customWidth="1"/>
    <col min="13320" max="13320" width="13.42578125" style="123" customWidth="1"/>
    <col min="13321" max="13569" width="9.140625" style="123"/>
    <col min="13570" max="13570" width="49.140625" style="123" customWidth="1"/>
    <col min="13571" max="13571" width="20.7109375" style="123" customWidth="1"/>
    <col min="13572" max="13572" width="9.140625" style="123"/>
    <col min="13573" max="13573" width="11.85546875" style="123" customWidth="1"/>
    <col min="13574" max="13574" width="11.7109375" style="123" customWidth="1"/>
    <col min="13575" max="13575" width="12.42578125" style="123" customWidth="1"/>
    <col min="13576" max="13576" width="13.42578125" style="123" customWidth="1"/>
    <col min="13577" max="13825" width="9.140625" style="123"/>
    <col min="13826" max="13826" width="49.140625" style="123" customWidth="1"/>
    <col min="13827" max="13827" width="20.7109375" style="123" customWidth="1"/>
    <col min="13828" max="13828" width="9.140625" style="123"/>
    <col min="13829" max="13829" width="11.85546875" style="123" customWidth="1"/>
    <col min="13830" max="13830" width="11.7109375" style="123" customWidth="1"/>
    <col min="13831" max="13831" width="12.42578125" style="123" customWidth="1"/>
    <col min="13832" max="13832" width="13.42578125" style="123" customWidth="1"/>
    <col min="13833" max="14081" width="9.140625" style="123"/>
    <col min="14082" max="14082" width="49.140625" style="123" customWidth="1"/>
    <col min="14083" max="14083" width="20.7109375" style="123" customWidth="1"/>
    <col min="14084" max="14084" width="9.140625" style="123"/>
    <col min="14085" max="14085" width="11.85546875" style="123" customWidth="1"/>
    <col min="14086" max="14086" width="11.7109375" style="123" customWidth="1"/>
    <col min="14087" max="14087" width="12.42578125" style="123" customWidth="1"/>
    <col min="14088" max="14088" width="13.42578125" style="123" customWidth="1"/>
    <col min="14089" max="14337" width="9.140625" style="123"/>
    <col min="14338" max="14338" width="49.140625" style="123" customWidth="1"/>
    <col min="14339" max="14339" width="20.7109375" style="123" customWidth="1"/>
    <col min="14340" max="14340" width="9.140625" style="123"/>
    <col min="14341" max="14341" width="11.85546875" style="123" customWidth="1"/>
    <col min="14342" max="14342" width="11.7109375" style="123" customWidth="1"/>
    <col min="14343" max="14343" width="12.42578125" style="123" customWidth="1"/>
    <col min="14344" max="14344" width="13.42578125" style="123" customWidth="1"/>
    <col min="14345" max="14593" width="9.140625" style="123"/>
    <col min="14594" max="14594" width="49.140625" style="123" customWidth="1"/>
    <col min="14595" max="14595" width="20.7109375" style="123" customWidth="1"/>
    <col min="14596" max="14596" width="9.140625" style="123"/>
    <col min="14597" max="14597" width="11.85546875" style="123" customWidth="1"/>
    <col min="14598" max="14598" width="11.7109375" style="123" customWidth="1"/>
    <col min="14599" max="14599" width="12.42578125" style="123" customWidth="1"/>
    <col min="14600" max="14600" width="13.42578125" style="123" customWidth="1"/>
    <col min="14601" max="14849" width="9.140625" style="123"/>
    <col min="14850" max="14850" width="49.140625" style="123" customWidth="1"/>
    <col min="14851" max="14851" width="20.7109375" style="123" customWidth="1"/>
    <col min="14852" max="14852" width="9.140625" style="123"/>
    <col min="14853" max="14853" width="11.85546875" style="123" customWidth="1"/>
    <col min="14854" max="14854" width="11.7109375" style="123" customWidth="1"/>
    <col min="14855" max="14855" width="12.42578125" style="123" customWidth="1"/>
    <col min="14856" max="14856" width="13.42578125" style="123" customWidth="1"/>
    <col min="14857" max="15105" width="9.140625" style="123"/>
    <col min="15106" max="15106" width="49.140625" style="123" customWidth="1"/>
    <col min="15107" max="15107" width="20.7109375" style="123" customWidth="1"/>
    <col min="15108" max="15108" width="9.140625" style="123"/>
    <col min="15109" max="15109" width="11.85546875" style="123" customWidth="1"/>
    <col min="15110" max="15110" width="11.7109375" style="123" customWidth="1"/>
    <col min="15111" max="15111" width="12.42578125" style="123" customWidth="1"/>
    <col min="15112" max="15112" width="13.42578125" style="123" customWidth="1"/>
    <col min="15113" max="15361" width="9.140625" style="123"/>
    <col min="15362" max="15362" width="49.140625" style="123" customWidth="1"/>
    <col min="15363" max="15363" width="20.7109375" style="123" customWidth="1"/>
    <col min="15364" max="15364" width="9.140625" style="123"/>
    <col min="15365" max="15365" width="11.85546875" style="123" customWidth="1"/>
    <col min="15366" max="15366" width="11.7109375" style="123" customWidth="1"/>
    <col min="15367" max="15367" width="12.42578125" style="123" customWidth="1"/>
    <col min="15368" max="15368" width="13.42578125" style="123" customWidth="1"/>
    <col min="15369" max="15617" width="9.140625" style="123"/>
    <col min="15618" max="15618" width="49.140625" style="123" customWidth="1"/>
    <col min="15619" max="15619" width="20.7109375" style="123" customWidth="1"/>
    <col min="15620" max="15620" width="9.140625" style="123"/>
    <col min="15621" max="15621" width="11.85546875" style="123" customWidth="1"/>
    <col min="15622" max="15622" width="11.7109375" style="123" customWidth="1"/>
    <col min="15623" max="15623" width="12.42578125" style="123" customWidth="1"/>
    <col min="15624" max="15624" width="13.42578125" style="123" customWidth="1"/>
    <col min="15625" max="15873" width="9.140625" style="123"/>
    <col min="15874" max="15874" width="49.140625" style="123" customWidth="1"/>
    <col min="15875" max="15875" width="20.7109375" style="123" customWidth="1"/>
    <col min="15876" max="15876" width="9.140625" style="123"/>
    <col min="15877" max="15877" width="11.85546875" style="123" customWidth="1"/>
    <col min="15878" max="15878" width="11.7109375" style="123" customWidth="1"/>
    <col min="15879" max="15879" width="12.42578125" style="123" customWidth="1"/>
    <col min="15880" max="15880" width="13.42578125" style="123" customWidth="1"/>
    <col min="15881" max="16129" width="9.140625" style="123"/>
    <col min="16130" max="16130" width="49.140625" style="123" customWidth="1"/>
    <col min="16131" max="16131" width="20.7109375" style="123" customWidth="1"/>
    <col min="16132" max="16132" width="9.140625" style="123"/>
    <col min="16133" max="16133" width="11.85546875" style="123" customWidth="1"/>
    <col min="16134" max="16134" width="11.7109375" style="123" customWidth="1"/>
    <col min="16135" max="16135" width="12.42578125" style="123" customWidth="1"/>
    <col min="16136" max="16136" width="13.42578125" style="123" customWidth="1"/>
    <col min="16137" max="16384" width="9.140625" style="123"/>
  </cols>
  <sheetData>
    <row r="1" spans="2:13" ht="20.100000000000001" customHeight="1">
      <c r="B1" s="1119" t="s">
        <v>544</v>
      </c>
      <c r="C1" s="1126"/>
      <c r="D1" s="1126"/>
      <c r="E1" s="1126"/>
      <c r="F1" s="1126"/>
      <c r="G1" s="1126"/>
      <c r="H1" s="1120"/>
      <c r="I1" s="124"/>
      <c r="J1" s="124"/>
      <c r="K1" s="124"/>
      <c r="L1" s="124"/>
      <c r="M1" s="124"/>
    </row>
    <row r="2" spans="2:13" ht="20.100000000000001" customHeight="1">
      <c r="B2" s="1121" t="s">
        <v>272</v>
      </c>
      <c r="C2" s="1123"/>
      <c r="E2" s="521">
        <v>1</v>
      </c>
      <c r="F2" s="521">
        <v>2</v>
      </c>
      <c r="G2" s="521">
        <v>3</v>
      </c>
      <c r="H2" s="522">
        <v>4</v>
      </c>
    </row>
    <row r="3" spans="2:13" ht="20.100000000000001" customHeight="1">
      <c r="B3" s="510" t="s">
        <v>273</v>
      </c>
      <c r="C3" s="152">
        <f>'Sensitivity-Profit Current Case'!C5</f>
        <v>3842.6360000000004</v>
      </c>
      <c r="E3" s="152">
        <f>C3-C3*0.11</f>
        <v>3419.9460400000003</v>
      </c>
      <c r="F3" s="152">
        <f>C3</f>
        <v>3842.6360000000004</v>
      </c>
      <c r="G3" s="152">
        <f>C3-C3*0.05</f>
        <v>3650.5042000000003</v>
      </c>
      <c r="H3" s="511">
        <f>C3</f>
        <v>3842.6360000000004</v>
      </c>
    </row>
    <row r="4" spans="2:13" ht="20.100000000000001" customHeight="1">
      <c r="B4" s="510" t="s">
        <v>274</v>
      </c>
      <c r="C4" s="153"/>
      <c r="E4" s="154"/>
      <c r="F4" s="154"/>
      <c r="G4" s="154"/>
      <c r="H4" s="514"/>
    </row>
    <row r="5" spans="2:13" ht="20.100000000000001" customHeight="1">
      <c r="B5" s="513" t="s">
        <v>447</v>
      </c>
      <c r="C5" s="154">
        <f>'Sensitivity-Profit Current Case'!C7+'Sensitivity-Profit Current Case'!C8</f>
        <v>1770.3550000000002</v>
      </c>
      <c r="E5" s="154">
        <f>C5</f>
        <v>1770.3550000000002</v>
      </c>
      <c r="F5" s="154">
        <f>E5+E5*16.5%</f>
        <v>2062.4635750000002</v>
      </c>
      <c r="G5" s="154">
        <f>C5+C5*0.09</f>
        <v>1929.6869500000003</v>
      </c>
      <c r="H5" s="514">
        <f>C5</f>
        <v>1770.3550000000002</v>
      </c>
    </row>
    <row r="6" spans="2:13" ht="20.100000000000001" customHeight="1">
      <c r="B6" s="513" t="s">
        <v>17</v>
      </c>
      <c r="C6" s="154">
        <f>'Sensitivity-Profit Current Case'!C10</f>
        <v>157.19999999999999</v>
      </c>
      <c r="E6" s="154">
        <f>C6</f>
        <v>157.19999999999999</v>
      </c>
      <c r="F6" s="154">
        <f>E6</f>
        <v>157.19999999999999</v>
      </c>
      <c r="G6" s="154">
        <f>F6</f>
        <v>157.19999999999999</v>
      </c>
      <c r="H6" s="514">
        <f>G6</f>
        <v>157.19999999999999</v>
      </c>
    </row>
    <row r="7" spans="2:13" ht="20.100000000000001" customHeight="1">
      <c r="B7" s="513" t="s">
        <v>15</v>
      </c>
      <c r="C7" s="154">
        <f>'Sensitivity-Profit Current Case'!C9</f>
        <v>26.91</v>
      </c>
      <c r="E7" s="154">
        <f>C7</f>
        <v>26.91</v>
      </c>
      <c r="F7" s="154">
        <f t="shared" ref="F7:H8" si="0">E7</f>
        <v>26.91</v>
      </c>
      <c r="G7" s="154">
        <f t="shared" si="0"/>
        <v>26.91</v>
      </c>
      <c r="H7" s="514">
        <f t="shared" si="0"/>
        <v>26.91</v>
      </c>
    </row>
    <row r="8" spans="2:13" ht="20.100000000000001" customHeight="1">
      <c r="B8" s="513" t="s">
        <v>21</v>
      </c>
      <c r="C8" s="154">
        <f>'Sensitivity-Profit Current Case'!C12</f>
        <v>123.79020212092189</v>
      </c>
      <c r="E8" s="154">
        <f>C8</f>
        <v>123.79020212092189</v>
      </c>
      <c r="F8" s="154">
        <f t="shared" si="0"/>
        <v>123.79020212092189</v>
      </c>
      <c r="G8" s="154">
        <f t="shared" si="0"/>
        <v>123.79020212092189</v>
      </c>
      <c r="H8" s="514">
        <f t="shared" si="0"/>
        <v>123.79020212092189</v>
      </c>
    </row>
    <row r="9" spans="2:13" ht="20.100000000000001" customHeight="1">
      <c r="B9" s="515" t="s">
        <v>275</v>
      </c>
      <c r="C9" s="152">
        <f>SUM(C5:C8)</f>
        <v>2078.2552021209221</v>
      </c>
      <c r="D9" s="130"/>
      <c r="E9" s="152">
        <f>SUM(E5:E8)</f>
        <v>2078.2552021209221</v>
      </c>
      <c r="F9" s="152">
        <f>SUM(F5:F8)</f>
        <v>2370.3637771209219</v>
      </c>
      <c r="G9" s="152">
        <f>SUM(G5:G8)</f>
        <v>2237.5871521209219</v>
      </c>
      <c r="H9" s="511">
        <f>SUM(H5:H8)+SUM(H5:H8)*14.5%</f>
        <v>2379.6022064284557</v>
      </c>
    </row>
    <row r="10" spans="2:13" ht="20.100000000000001" customHeight="1">
      <c r="B10" s="510" t="s">
        <v>276</v>
      </c>
      <c r="C10" s="152">
        <f>+C3-C9</f>
        <v>1764.3807978790783</v>
      </c>
      <c r="E10" s="152">
        <f>+E3-E9</f>
        <v>1341.6908378790781</v>
      </c>
      <c r="F10" s="152">
        <f>+F3-F9</f>
        <v>1472.2722228790785</v>
      </c>
      <c r="G10" s="152">
        <f>+G3-G9</f>
        <v>1412.9170478790784</v>
      </c>
      <c r="H10" s="511">
        <f>+H3-H9</f>
        <v>1463.0337935715447</v>
      </c>
      <c r="I10" s="125"/>
    </row>
    <row r="11" spans="2:13" ht="20.100000000000001" customHeight="1">
      <c r="B11" s="510" t="s">
        <v>277</v>
      </c>
      <c r="C11" s="153"/>
      <c r="E11" s="125"/>
      <c r="F11" s="125"/>
      <c r="G11" s="127"/>
      <c r="H11" s="518"/>
      <c r="I11" s="125"/>
    </row>
    <row r="12" spans="2:13" ht="20.100000000000001" customHeight="1">
      <c r="B12" s="513" t="s">
        <v>20</v>
      </c>
      <c r="C12" s="154">
        <f>'Cashflow Current'!H18</f>
        <v>69.089377505903997</v>
      </c>
      <c r="E12" s="154">
        <f>C12</f>
        <v>69.089377505903997</v>
      </c>
      <c r="F12" s="154">
        <f t="shared" ref="F12:H13" si="1">E12</f>
        <v>69.089377505903997</v>
      </c>
      <c r="G12" s="154">
        <f t="shared" si="1"/>
        <v>69.089377505903997</v>
      </c>
      <c r="H12" s="514">
        <f t="shared" si="1"/>
        <v>69.089377505903997</v>
      </c>
      <c r="I12" s="125"/>
    </row>
    <row r="13" spans="2:13" ht="20.100000000000001" customHeight="1">
      <c r="B13" s="513" t="s">
        <v>31</v>
      </c>
      <c r="C13" s="154">
        <f>' Break EvenPoint'!E14</f>
        <v>605.34501838079996</v>
      </c>
      <c r="E13" s="154">
        <f>C13</f>
        <v>605.34501838079996</v>
      </c>
      <c r="F13" s="154">
        <f t="shared" si="1"/>
        <v>605.34501838079996</v>
      </c>
      <c r="G13" s="154">
        <f t="shared" si="1"/>
        <v>605.34501838079996</v>
      </c>
      <c r="H13" s="514">
        <f t="shared" si="1"/>
        <v>605.34501838079996</v>
      </c>
      <c r="I13" s="132"/>
    </row>
    <row r="14" spans="2:13" ht="20.100000000000001" customHeight="1">
      <c r="B14" s="513" t="s">
        <v>471</v>
      </c>
      <c r="C14" s="154">
        <f>'Interest Calculation'!B12</f>
        <v>454.00876378559997</v>
      </c>
      <c r="E14" s="154">
        <f>C14</f>
        <v>454.00876378559997</v>
      </c>
      <c r="F14" s="154">
        <f>E14</f>
        <v>454.00876378559997</v>
      </c>
      <c r="G14" s="154">
        <f t="shared" ref="G14:H14" si="2">E14</f>
        <v>454.00876378559997</v>
      </c>
      <c r="H14" s="514">
        <f t="shared" si="2"/>
        <v>454.00876378559997</v>
      </c>
      <c r="I14" s="132"/>
    </row>
    <row r="15" spans="2:13" ht="20.100000000000001" customHeight="1">
      <c r="B15" s="513" t="s">
        <v>144</v>
      </c>
      <c r="C15" s="152">
        <f>SUM(C12:C14)</f>
        <v>1128.4431596723039</v>
      </c>
      <c r="E15" s="152">
        <f>SUM(E12:E14)</f>
        <v>1128.4431596723039</v>
      </c>
      <c r="F15" s="152">
        <f>SUM(F12:F14)</f>
        <v>1128.4431596723039</v>
      </c>
      <c r="G15" s="152">
        <f>SUM(G12:G14)</f>
        <v>1128.4431596723039</v>
      </c>
      <c r="H15" s="511">
        <f>SUM(H12:H14)</f>
        <v>1128.4431596723039</v>
      </c>
      <c r="I15" s="132"/>
    </row>
    <row r="16" spans="2:13" ht="20.100000000000001" customHeight="1">
      <c r="B16" s="516" t="s">
        <v>278</v>
      </c>
      <c r="C16" s="519">
        <f>C15/C10</f>
        <v>0.63956894170962386</v>
      </c>
      <c r="D16" s="520"/>
      <c r="E16" s="519">
        <f>E15/E10</f>
        <v>0.84106049457423993</v>
      </c>
      <c r="F16" s="519">
        <f>F15/F10</f>
        <v>0.76646366217899209</v>
      </c>
      <c r="G16" s="519">
        <f>G15/G10</f>
        <v>0.7986620030993351</v>
      </c>
      <c r="H16" s="517">
        <f>H15/H10</f>
        <v>0.77130355062924327</v>
      </c>
      <c r="I16" s="132"/>
      <c r="J16" s="124"/>
    </row>
    <row r="17" spans="1:9" ht="20.100000000000001" customHeight="1">
      <c r="B17" s="127"/>
      <c r="C17" s="127"/>
      <c r="H17" s="132"/>
      <c r="I17" s="132"/>
    </row>
    <row r="18" spans="1:9" ht="20.100000000000001" customHeight="1">
      <c r="A18" s="526" t="s">
        <v>117</v>
      </c>
      <c r="B18" s="1124" t="s">
        <v>364</v>
      </c>
      <c r="C18" s="1124"/>
    </row>
    <row r="19" spans="1:9">
      <c r="A19" s="523"/>
      <c r="B19" s="343" t="s">
        <v>358</v>
      </c>
      <c r="C19" s="344" t="s">
        <v>359</v>
      </c>
    </row>
    <row r="20" spans="1:9">
      <c r="A20" s="524"/>
      <c r="B20" s="345" t="s">
        <v>439</v>
      </c>
      <c r="C20" s="346">
        <f>C16</f>
        <v>0.63956894170962386</v>
      </c>
    </row>
    <row r="21" spans="1:9">
      <c r="A21" s="524"/>
      <c r="B21" s="345"/>
      <c r="C21" s="347"/>
    </row>
    <row r="22" spans="1:9">
      <c r="A22" s="524">
        <v>1</v>
      </c>
      <c r="B22" s="345" t="s">
        <v>360</v>
      </c>
      <c r="C22" s="348">
        <f>E16</f>
        <v>0.84106049457423993</v>
      </c>
    </row>
    <row r="23" spans="1:9">
      <c r="A23" s="524">
        <v>2</v>
      </c>
      <c r="B23" s="345" t="s">
        <v>361</v>
      </c>
      <c r="C23" s="348">
        <f>F16</f>
        <v>0.76646366217899209</v>
      </c>
    </row>
    <row r="24" spans="1:9">
      <c r="A24" s="524">
        <v>3</v>
      </c>
      <c r="B24" s="345" t="s">
        <v>362</v>
      </c>
      <c r="C24" s="348">
        <f>G16</f>
        <v>0.7986620030993351</v>
      </c>
    </row>
    <row r="25" spans="1:9">
      <c r="A25" s="525">
        <v>4</v>
      </c>
      <c r="B25" s="349" t="s">
        <v>363</v>
      </c>
      <c r="C25" s="350">
        <f>H16</f>
        <v>0.77130355062924327</v>
      </c>
    </row>
    <row r="27" spans="1:9" ht="40.5" customHeight="1">
      <c r="B27" s="1125" t="s">
        <v>415</v>
      </c>
      <c r="C27" s="1125"/>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2AE41-39CB-4B3E-92F2-8128469439FA}">
  <sheetPr codeName="Sheet49"/>
  <dimension ref="A1:K17"/>
  <sheetViews>
    <sheetView showGridLines="0" workbookViewId="0">
      <selection activeCell="J21" sqref="J21"/>
    </sheetView>
  </sheetViews>
  <sheetFormatPr defaultRowHeight="15"/>
  <cols>
    <col min="1" max="1" width="21" bestFit="1" customWidth="1"/>
    <col min="2" max="11" width="13.140625" customWidth="1"/>
  </cols>
  <sheetData>
    <row r="1" spans="1:11">
      <c r="A1" s="1105" t="s">
        <v>450</v>
      </c>
      <c r="B1" s="1106"/>
      <c r="C1" s="1106"/>
      <c r="D1" s="1106"/>
      <c r="E1" s="1106"/>
      <c r="F1" s="1106"/>
      <c r="G1" s="1106"/>
      <c r="H1" s="1106"/>
      <c r="I1" s="1106"/>
      <c r="J1" s="1106"/>
      <c r="K1" s="1107"/>
    </row>
    <row r="2" spans="1:11">
      <c r="A2" s="505" t="s">
        <v>257</v>
      </c>
      <c r="B2" s="506">
        <v>0.7</v>
      </c>
      <c r="C2" s="506">
        <v>0.9</v>
      </c>
      <c r="D2" s="506">
        <v>1</v>
      </c>
      <c r="E2" s="506">
        <v>1</v>
      </c>
      <c r="F2" s="506">
        <v>1</v>
      </c>
      <c r="G2" s="506">
        <v>1</v>
      </c>
      <c r="H2" s="506">
        <v>1</v>
      </c>
      <c r="I2" s="506">
        <v>1</v>
      </c>
      <c r="J2" s="506">
        <v>1</v>
      </c>
      <c r="K2" s="507">
        <v>1</v>
      </c>
    </row>
    <row r="3" spans="1:11">
      <c r="A3" s="1108" t="s">
        <v>258</v>
      </c>
      <c r="B3" s="1109"/>
      <c r="C3" s="1109"/>
      <c r="D3" s="1109"/>
      <c r="E3" s="1109"/>
      <c r="F3" s="1109"/>
      <c r="G3" s="1109"/>
      <c r="H3" s="1109"/>
      <c r="I3" s="1109"/>
      <c r="J3" s="1109"/>
      <c r="K3" s="1110"/>
    </row>
    <row r="4" spans="1:11">
      <c r="A4" s="505"/>
      <c r="B4" s="134" t="s">
        <v>259</v>
      </c>
      <c r="C4" s="134" t="s">
        <v>260</v>
      </c>
      <c r="D4" s="134" t="s">
        <v>261</v>
      </c>
      <c r="E4" s="134" t="s">
        <v>262</v>
      </c>
      <c r="F4" s="134" t="s">
        <v>263</v>
      </c>
      <c r="G4" s="134" t="s">
        <v>264</v>
      </c>
      <c r="H4" s="134" t="s">
        <v>265</v>
      </c>
      <c r="I4" s="134" t="s">
        <v>266</v>
      </c>
      <c r="J4" s="134" t="s">
        <v>267</v>
      </c>
      <c r="K4" s="508" t="s">
        <v>268</v>
      </c>
    </row>
    <row r="5" spans="1:11">
      <c r="A5" s="505" t="s">
        <v>298</v>
      </c>
      <c r="B5" s="146">
        <f>'Cashflow - PVC Phenol Propane'!H13</f>
        <v>4462.0699498387594</v>
      </c>
      <c r="C5" s="146">
        <f>'Cashflow - PVC Phenol Propane'!I13</f>
        <v>5683.2465087559467</v>
      </c>
      <c r="D5" s="146">
        <f>'Cashflow - PVC Phenol Propane'!J13</f>
        <v>6387.4183718636559</v>
      </c>
      <c r="E5" s="146">
        <f>'Cashflow - PVC Phenol Propane'!K13</f>
        <v>6745.1065192482711</v>
      </c>
      <c r="F5" s="146">
        <f>'Cashflow - PVC Phenol Propane'!L13</f>
        <v>7122.957578077182</v>
      </c>
      <c r="G5" s="146">
        <f>'Cashflow - PVC Phenol Propane'!M13</f>
        <v>7522.1143273586204</v>
      </c>
      <c r="H5" s="146">
        <f>'Cashflow - PVC Phenol Propane'!N13</f>
        <v>7943.7846029611173</v>
      </c>
      <c r="I5" s="146">
        <f>'Cashflow - PVC Phenol Propane'!O13</f>
        <v>8389.2450144748836</v>
      </c>
      <c r="J5" s="146">
        <f>'Cashflow - PVC Phenol Propane'!P13</f>
        <v>8859.8448750371481</v>
      </c>
      <c r="K5" s="527">
        <f>'Cashflow - PVC Phenol Propane'!Q13</f>
        <v>9357.0103563516841</v>
      </c>
    </row>
    <row r="6" spans="1:11">
      <c r="A6" s="505" t="s">
        <v>441</v>
      </c>
      <c r="B6" s="146">
        <f>SUM(B7:B12)</f>
        <v>2483.5123808314702</v>
      </c>
      <c r="C6" s="146">
        <f t="shared" ref="C6:K6" si="0">SUM(C7:C12)</f>
        <v>2985.7542417378736</v>
      </c>
      <c r="D6" s="146">
        <f t="shared" si="0"/>
        <v>3253.3278688000814</v>
      </c>
      <c r="E6" s="146">
        <f t="shared" si="0"/>
        <v>3434.1093380814168</v>
      </c>
      <c r="F6" s="146">
        <f t="shared" si="0"/>
        <v>3622.5041583955144</v>
      </c>
      <c r="G6" s="146">
        <f t="shared" si="0"/>
        <v>3822.5443547753398</v>
      </c>
      <c r="H6" s="146">
        <f t="shared" si="0"/>
        <v>4033.4180161611498</v>
      </c>
      <c r="I6" s="146">
        <f t="shared" si="0"/>
        <v>4256.4916217139335</v>
      </c>
      <c r="J6" s="146">
        <f t="shared" si="0"/>
        <v>4493.829916234703</v>
      </c>
      <c r="K6" s="527">
        <f t="shared" si="0"/>
        <v>4738.6681008380674</v>
      </c>
    </row>
    <row r="7" spans="1:11">
      <c r="A7" s="52" t="s">
        <v>28</v>
      </c>
      <c r="B7" s="146">
        <f>'Cashflow - PVC Phenol Propane'!H20</f>
        <v>1748.6078524609516</v>
      </c>
      <c r="C7" s="146">
        <f>'Cashflow - PVC Phenol Propane'!I20</f>
        <v>2155.6917227446902</v>
      </c>
      <c r="D7" s="146">
        <f>'Cashflow - PVC Phenol Propane'!J20</f>
        <v>2368.8825241386103</v>
      </c>
      <c r="E7" s="146">
        <f>'Cashflow - PVC Phenol Propane'!K20</f>
        <v>2507.6298695010551</v>
      </c>
      <c r="F7" s="146">
        <f>'Cashflow - PVC Phenol Propane'!L20</f>
        <v>2652.0147899086583</v>
      </c>
      <c r="G7" s="146">
        <f>'Cashflow - PVC Phenol Propane'!M20</f>
        <v>2806.0316806140627</v>
      </c>
      <c r="H7" s="146">
        <f>'Cashflow - PVC Phenol Propane'!N20</f>
        <v>2968.6722547547934</v>
      </c>
      <c r="I7" s="146">
        <f>'Cashflow - PVC Phenol Propane'!O20</f>
        <v>3141.1953656688565</v>
      </c>
      <c r="J7" s="146">
        <f>'Cashflow - PVC Phenol Propane'!P20</f>
        <v>3325.5528061942059</v>
      </c>
      <c r="K7" s="527">
        <f>'Cashflow - PVC Phenol Propane'!Q20</f>
        <v>3514.8612311688603</v>
      </c>
    </row>
    <row r="8" spans="1:11">
      <c r="A8" s="52" t="s">
        <v>325</v>
      </c>
      <c r="B8" s="146">
        <f>'Cashflow - PVC Phenol Propane'!H21</f>
        <v>92.910999999999987</v>
      </c>
      <c r="C8" s="146">
        <f>'Cashflow - PVC Phenol Propane'!I21</f>
        <v>126.76746975749997</v>
      </c>
      <c r="D8" s="146">
        <f>'Cashflow - PVC Phenol Propane'!J21</f>
        <v>149.50201821018209</v>
      </c>
      <c r="E8" s="146">
        <f>'Cashflow - PVC Phenol Propane'!K21</f>
        <v>158.46369243876413</v>
      </c>
      <c r="F8" s="146">
        <f>'Cashflow - PVC Phenol Propane'!L21</f>
        <v>167.91288241888759</v>
      </c>
      <c r="G8" s="146">
        <f>'Cashflow - PVC Phenol Propane'!M21</f>
        <v>177.8202462202492</v>
      </c>
      <c r="H8" s="146">
        <f>'Cashflow - PVC Phenol Propane'!N21</f>
        <v>188.31217420798251</v>
      </c>
      <c r="I8" s="146">
        <f>'Cashflow - PVC Phenol Propane'!O21</f>
        <v>199.42315742277611</v>
      </c>
      <c r="J8" s="146">
        <f>'Cashflow - PVC Phenol Propane'!P21</f>
        <v>211.18972198019213</v>
      </c>
      <c r="K8" s="527">
        <f>'Cashflow - PVC Phenol Propane'!Q21</f>
        <v>223.65054914618941</v>
      </c>
    </row>
    <row r="9" spans="1:11">
      <c r="A9" s="52" t="s">
        <v>29</v>
      </c>
      <c r="B9" s="146">
        <f>'Cashflow - PVC Phenol Propane'!H22</f>
        <v>53.82</v>
      </c>
      <c r="C9" s="146">
        <f>'Cashflow - PVC Phenol Propane'!I22</f>
        <v>56.241899999999994</v>
      </c>
      <c r="D9" s="146">
        <f>'Cashflow - PVC Phenol Propane'!J22</f>
        <v>58.772785499999991</v>
      </c>
      <c r="E9" s="146">
        <f>'Cashflow - PVC Phenol Propane'!K22</f>
        <v>61.417560847499992</v>
      </c>
      <c r="F9" s="146">
        <f>'Cashflow - PVC Phenol Propane'!L22</f>
        <v>64.181351085637473</v>
      </c>
      <c r="G9" s="146">
        <f>'Cashflow - PVC Phenol Propane'!M22</f>
        <v>67.069511884491163</v>
      </c>
      <c r="H9" s="146">
        <f>'Cashflow - PVC Phenol Propane'!N22</f>
        <v>70.087639919293238</v>
      </c>
      <c r="I9" s="146">
        <f>'Cashflow - PVC Phenol Propane'!O22</f>
        <v>73.241583715661449</v>
      </c>
      <c r="J9" s="146">
        <f>'Cashflow - PVC Phenol Propane'!P22</f>
        <v>76.53745498286618</v>
      </c>
      <c r="K9" s="527">
        <f>'Cashflow - PVC Phenol Propane'!Q22</f>
        <v>79.981640457095153</v>
      </c>
    </row>
    <row r="10" spans="1:11">
      <c r="A10" s="52" t="s">
        <v>17</v>
      </c>
      <c r="B10" s="146">
        <f>'Cashflow - PVC Phenol Propane'!H23</f>
        <v>336.36743734740003</v>
      </c>
      <c r="C10" s="146">
        <f>'Cashflow - PVC Phenol Propane'!I23</f>
        <v>372.30730225336998</v>
      </c>
      <c r="D10" s="146">
        <f>'Cashflow - PVC Phenol Propane'!J23</f>
        <v>389.06113085477159</v>
      </c>
      <c r="E10" s="146">
        <f>'Cashflow - PVC Phenol Propane'!K23</f>
        <v>406.56888174323637</v>
      </c>
      <c r="F10" s="146">
        <f>'Cashflow - PVC Phenol Propane'!L23</f>
        <v>424.86448142168183</v>
      </c>
      <c r="G10" s="146">
        <f>'Cashflow - PVC Phenol Propane'!M23</f>
        <v>443.98338308565752</v>
      </c>
      <c r="H10" s="146">
        <f>'Cashflow - PVC Phenol Propane'!N23</f>
        <v>463.96263532451201</v>
      </c>
      <c r="I10" s="146">
        <f>'Cashflow - PVC Phenol Propane'!O23</f>
        <v>484.84095391411512</v>
      </c>
      <c r="J10" s="146">
        <f>'Cashflow - PVC Phenol Propane'!P23</f>
        <v>506.65879684025015</v>
      </c>
      <c r="K10" s="527">
        <f>'Cashflow - PVC Phenol Propane'!Q23</f>
        <v>529.45844269806139</v>
      </c>
    </row>
    <row r="11" spans="1:11">
      <c r="A11" s="52" t="s">
        <v>20</v>
      </c>
      <c r="B11" s="146">
        <f>'Cashflow - PVC Phenol Propane'!H24</f>
        <v>96.573698443403998</v>
      </c>
      <c r="C11" s="146">
        <f>'Cashflow - PVC Phenol Propane'!I24</f>
        <v>104.11074991554466</v>
      </c>
      <c r="D11" s="146">
        <f>'Cashflow - PVC Phenol Propane'!J24</f>
        <v>108.79573366174417</v>
      </c>
      <c r="E11" s="146">
        <f>'Cashflow - PVC Phenol Propane'!K24</f>
        <v>113.69154167652266</v>
      </c>
      <c r="F11" s="146">
        <f>'Cashflow - PVC Phenol Propane'!L24</f>
        <v>118.80766105196614</v>
      </c>
      <c r="G11" s="146">
        <f>'Cashflow - PVC Phenol Propane'!M24</f>
        <v>124.15400579930463</v>
      </c>
      <c r="H11" s="146">
        <f>'Cashflow - PVC Phenol Propane'!N24</f>
        <v>129.7409360602733</v>
      </c>
      <c r="I11" s="146">
        <f>'Cashflow - PVC Phenol Propane'!O24</f>
        <v>135.5792781829856</v>
      </c>
      <c r="J11" s="146">
        <f>'Cashflow - PVC Phenol Propane'!P24</f>
        <v>141.68034570121992</v>
      </c>
      <c r="K11" s="527">
        <f>'Cashflow - PVC Phenol Propane'!Q24</f>
        <v>148.05596125777478</v>
      </c>
    </row>
    <row r="12" spans="1:11">
      <c r="A12" s="52" t="s">
        <v>21</v>
      </c>
      <c r="B12" s="146">
        <f>'Cashflow - PVC Phenol Propane'!H25</f>
        <v>155.23239257971522</v>
      </c>
      <c r="C12" s="146">
        <f>'Cashflow - PVC Phenol Propane'!I25</f>
        <v>170.63509706676908</v>
      </c>
      <c r="D12" s="146">
        <f>'Cashflow - PVC Phenol Propane'!J25</f>
        <v>178.31367643477367</v>
      </c>
      <c r="E12" s="146">
        <f>'Cashflow - PVC Phenol Propane'!K25</f>
        <v>186.33779187433851</v>
      </c>
      <c r="F12" s="146">
        <f>'Cashflow - PVC Phenol Propane'!L25</f>
        <v>194.72299250868366</v>
      </c>
      <c r="G12" s="146">
        <f>'Cashflow - PVC Phenol Propane'!M25</f>
        <v>203.48552717157443</v>
      </c>
      <c r="H12" s="146">
        <f>'Cashflow - PVC Phenol Propane'!N25</f>
        <v>212.64237589429524</v>
      </c>
      <c r="I12" s="146">
        <f>'Cashflow - PVC Phenol Propane'!O25</f>
        <v>222.21128280953855</v>
      </c>
      <c r="J12" s="146">
        <f>'Cashflow - PVC Phenol Propane'!P25</f>
        <v>232.2107905359677</v>
      </c>
      <c r="K12" s="527">
        <f>'Cashflow - PVC Phenol Propane'!Q25</f>
        <v>242.66027611008622</v>
      </c>
    </row>
    <row r="13" spans="1:11">
      <c r="A13" s="505" t="s">
        <v>442</v>
      </c>
      <c r="B13" s="146">
        <f t="shared" ref="B13:K13" si="1">B5-B6</f>
        <v>1978.5575690072892</v>
      </c>
      <c r="C13" s="146">
        <f t="shared" si="1"/>
        <v>2697.4922670180731</v>
      </c>
      <c r="D13" s="146">
        <f t="shared" si="1"/>
        <v>3134.0905030635745</v>
      </c>
      <c r="E13" s="146">
        <f t="shared" si="1"/>
        <v>3310.9971811668543</v>
      </c>
      <c r="F13" s="146">
        <f t="shared" si="1"/>
        <v>3500.4534196816676</v>
      </c>
      <c r="G13" s="146">
        <f t="shared" si="1"/>
        <v>3699.5699725832806</v>
      </c>
      <c r="H13" s="146">
        <f t="shared" si="1"/>
        <v>3910.3665867999675</v>
      </c>
      <c r="I13" s="146">
        <f t="shared" si="1"/>
        <v>4132.7533927609502</v>
      </c>
      <c r="J13" s="146">
        <f t="shared" si="1"/>
        <v>4366.0149588024451</v>
      </c>
      <c r="K13" s="527">
        <f t="shared" si="1"/>
        <v>4618.3422555136167</v>
      </c>
    </row>
    <row r="14" spans="1:11">
      <c r="A14" s="505" t="s">
        <v>448</v>
      </c>
      <c r="B14" s="146">
        <f>-'Cashflow - PVC Phenol Propane'!$G$12/10</f>
        <v>869.41247678080003</v>
      </c>
      <c r="C14" s="146">
        <f>-'Cashflow - PVC Phenol Propane'!$G$12/10</f>
        <v>869.41247678080003</v>
      </c>
      <c r="D14" s="146">
        <f>-'Cashflow - PVC Phenol Propane'!$G$12/10</f>
        <v>869.41247678080003</v>
      </c>
      <c r="E14" s="146">
        <f>-'Cashflow - PVC Phenol Propane'!$G$12/10</f>
        <v>869.41247678080003</v>
      </c>
      <c r="F14" s="146">
        <f>-'Cashflow - PVC Phenol Propane'!$G$12/10</f>
        <v>869.41247678080003</v>
      </c>
      <c r="G14" s="146">
        <f>-'Cashflow - PVC Phenol Propane'!$G$12/10</f>
        <v>869.41247678080003</v>
      </c>
      <c r="H14" s="146">
        <f>-'Cashflow - PVC Phenol Propane'!$G$12/10</f>
        <v>869.41247678080003</v>
      </c>
      <c r="I14" s="146">
        <f>-'Cashflow - PVC Phenol Propane'!$G$12/10</f>
        <v>869.41247678080003</v>
      </c>
      <c r="J14" s="146">
        <f>-'Cashflow - PVC Phenol Propane'!$G$12/10</f>
        <v>869.41247678080003</v>
      </c>
      <c r="K14" s="527">
        <f>-'Cashflow - PVC Phenol Propane'!$G$12/10</f>
        <v>869.41247678080003</v>
      </c>
    </row>
    <row r="15" spans="1:11">
      <c r="A15" s="505" t="s">
        <v>449</v>
      </c>
      <c r="B15" s="146">
        <f>B13-B14</f>
        <v>1109.1450922264892</v>
      </c>
      <c r="C15" s="146">
        <f t="shared" ref="C15:K15" si="2">C13-C14</f>
        <v>1828.0797902372731</v>
      </c>
      <c r="D15" s="146">
        <f t="shared" si="2"/>
        <v>2264.6780262827742</v>
      </c>
      <c r="E15" s="146">
        <f t="shared" si="2"/>
        <v>2441.584704386054</v>
      </c>
      <c r="F15" s="146">
        <f t="shared" si="2"/>
        <v>2631.0409429008678</v>
      </c>
      <c r="G15" s="146">
        <f t="shared" si="2"/>
        <v>2830.1574958024803</v>
      </c>
      <c r="H15" s="146">
        <f t="shared" si="2"/>
        <v>3040.9541100191673</v>
      </c>
      <c r="I15" s="146">
        <f t="shared" si="2"/>
        <v>3263.3409159801504</v>
      </c>
      <c r="J15" s="146">
        <f t="shared" si="2"/>
        <v>3496.6024820216453</v>
      </c>
      <c r="K15" s="527">
        <f t="shared" si="2"/>
        <v>3748.9297787328169</v>
      </c>
    </row>
    <row r="16" spans="1:11">
      <c r="A16" s="505" t="s">
        <v>269</v>
      </c>
      <c r="B16" s="146">
        <f>B15*0.2517</f>
        <v>279.17181971340727</v>
      </c>
      <c r="C16" s="146">
        <f t="shared" ref="C16:K16" si="3">C15*0.2517</f>
        <v>460.12768320272158</v>
      </c>
      <c r="D16" s="146">
        <f t="shared" si="3"/>
        <v>570.01945921537424</v>
      </c>
      <c r="E16" s="146">
        <f t="shared" si="3"/>
        <v>614.54687009396969</v>
      </c>
      <c r="F16" s="146">
        <f t="shared" si="3"/>
        <v>662.23300532814835</v>
      </c>
      <c r="G16" s="146">
        <f t="shared" si="3"/>
        <v>712.35064169348425</v>
      </c>
      <c r="H16" s="146">
        <f t="shared" si="3"/>
        <v>765.40814949182436</v>
      </c>
      <c r="I16" s="146">
        <f t="shared" si="3"/>
        <v>821.38290855220373</v>
      </c>
      <c r="J16" s="146">
        <f t="shared" si="3"/>
        <v>880.09484472484803</v>
      </c>
      <c r="K16" s="527">
        <f t="shared" si="3"/>
        <v>943.60562530704988</v>
      </c>
    </row>
    <row r="17" spans="1:11">
      <c r="A17" s="509" t="s">
        <v>270</v>
      </c>
      <c r="B17" s="528">
        <f>B15-B16</f>
        <v>829.97327251308184</v>
      </c>
      <c r="C17" s="528">
        <f t="shared" ref="C17:K17" si="4">C15-C16</f>
        <v>1367.9521070345515</v>
      </c>
      <c r="D17" s="528">
        <f t="shared" si="4"/>
        <v>1694.6585670673999</v>
      </c>
      <c r="E17" s="528">
        <f t="shared" si="4"/>
        <v>1827.0378342920844</v>
      </c>
      <c r="F17" s="528">
        <f t="shared" si="4"/>
        <v>1968.8079375727193</v>
      </c>
      <c r="G17" s="528">
        <f t="shared" si="4"/>
        <v>2117.806854108996</v>
      </c>
      <c r="H17" s="528">
        <f t="shared" si="4"/>
        <v>2275.5459605273427</v>
      </c>
      <c r="I17" s="528">
        <f t="shared" si="4"/>
        <v>2441.9580074279465</v>
      </c>
      <c r="J17" s="528">
        <f t="shared" si="4"/>
        <v>2616.5076372967974</v>
      </c>
      <c r="K17" s="529">
        <f t="shared" si="4"/>
        <v>2805.3241534257668</v>
      </c>
    </row>
  </sheetData>
  <mergeCells count="2">
    <mergeCell ref="A1:K1"/>
    <mergeCell ref="A3:K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14BC-54E9-4783-B7F7-D6D5F130E908}">
  <sheetPr codeName="Sheet37"/>
  <dimension ref="A1:L39"/>
  <sheetViews>
    <sheetView showGridLines="0" zoomScaleNormal="100" zoomScaleSheetLayoutView="100" workbookViewId="0">
      <selection activeCell="B17" sqref="B17"/>
    </sheetView>
  </sheetViews>
  <sheetFormatPr defaultRowHeight="12.75"/>
  <cols>
    <col min="1" max="1" width="38.140625" style="119" customWidth="1"/>
    <col min="2" max="3" width="9.7109375" style="119" bestFit="1" customWidth="1"/>
    <col min="4" max="4" width="9.5703125" style="119" bestFit="1" customWidth="1"/>
    <col min="5" max="10" width="9.7109375" style="119" bestFit="1" customWidth="1"/>
    <col min="11" max="255" width="9.140625" style="119"/>
    <col min="256" max="256" width="38.140625" style="119" customWidth="1"/>
    <col min="257" max="258" width="9.5703125" style="119" bestFit="1" customWidth="1"/>
    <col min="259" max="259" width="9.28515625" style="119" bestFit="1" customWidth="1"/>
    <col min="260" max="265" width="9.5703125" style="119" bestFit="1" customWidth="1"/>
    <col min="266" max="266" width="10.28515625" style="119" bestFit="1" customWidth="1"/>
    <col min="267" max="511" width="9.140625" style="119"/>
    <col min="512" max="512" width="38.140625" style="119" customWidth="1"/>
    <col min="513" max="514" width="9.5703125" style="119" bestFit="1" customWidth="1"/>
    <col min="515" max="515" width="9.28515625" style="119" bestFit="1" customWidth="1"/>
    <col min="516" max="521" width="9.5703125" style="119" bestFit="1" customWidth="1"/>
    <col min="522" max="522" width="10.28515625" style="119" bestFit="1" customWidth="1"/>
    <col min="523" max="767" width="9.140625" style="119"/>
    <col min="768" max="768" width="38.140625" style="119" customWidth="1"/>
    <col min="769" max="770" width="9.5703125" style="119" bestFit="1" customWidth="1"/>
    <col min="771" max="771" width="9.28515625" style="119" bestFit="1" customWidth="1"/>
    <col min="772" max="777" width="9.5703125" style="119" bestFit="1" customWidth="1"/>
    <col min="778" max="778" width="10.28515625" style="119" bestFit="1" customWidth="1"/>
    <col min="779" max="1023" width="9.140625" style="119"/>
    <col min="1024" max="1024" width="38.140625" style="119" customWidth="1"/>
    <col min="1025" max="1026" width="9.5703125" style="119" bestFit="1" customWidth="1"/>
    <col min="1027" max="1027" width="9.28515625" style="119" bestFit="1" customWidth="1"/>
    <col min="1028" max="1033" width="9.5703125" style="119" bestFit="1" customWidth="1"/>
    <col min="1034" max="1034" width="10.28515625" style="119" bestFit="1" customWidth="1"/>
    <col min="1035" max="1279" width="9.140625" style="119"/>
    <col min="1280" max="1280" width="38.140625" style="119" customWidth="1"/>
    <col min="1281" max="1282" width="9.5703125" style="119" bestFit="1" customWidth="1"/>
    <col min="1283" max="1283" width="9.28515625" style="119" bestFit="1" customWidth="1"/>
    <col min="1284" max="1289" width="9.5703125" style="119" bestFit="1" customWidth="1"/>
    <col min="1290" max="1290" width="10.28515625" style="119" bestFit="1" customWidth="1"/>
    <col min="1291" max="1535" width="9.140625" style="119"/>
    <col min="1536" max="1536" width="38.140625" style="119" customWidth="1"/>
    <col min="1537" max="1538" width="9.5703125" style="119" bestFit="1" customWidth="1"/>
    <col min="1539" max="1539" width="9.28515625" style="119" bestFit="1" customWidth="1"/>
    <col min="1540" max="1545" width="9.5703125" style="119" bestFit="1" customWidth="1"/>
    <col min="1546" max="1546" width="10.28515625" style="119" bestFit="1" customWidth="1"/>
    <col min="1547" max="1791" width="9.140625" style="119"/>
    <col min="1792" max="1792" width="38.140625" style="119" customWidth="1"/>
    <col min="1793" max="1794" width="9.5703125" style="119" bestFit="1" customWidth="1"/>
    <col min="1795" max="1795" width="9.28515625" style="119" bestFit="1" customWidth="1"/>
    <col min="1796" max="1801" width="9.5703125" style="119" bestFit="1" customWidth="1"/>
    <col min="1802" max="1802" width="10.28515625" style="119" bestFit="1" customWidth="1"/>
    <col min="1803" max="2047" width="9.140625" style="119"/>
    <col min="2048" max="2048" width="38.140625" style="119" customWidth="1"/>
    <col min="2049" max="2050" width="9.5703125" style="119" bestFit="1" customWidth="1"/>
    <col min="2051" max="2051" width="9.28515625" style="119" bestFit="1" customWidth="1"/>
    <col min="2052" max="2057" width="9.5703125" style="119" bestFit="1" customWidth="1"/>
    <col min="2058" max="2058" width="10.28515625" style="119" bestFit="1" customWidth="1"/>
    <col min="2059" max="2303" width="9.140625" style="119"/>
    <col min="2304" max="2304" width="38.140625" style="119" customWidth="1"/>
    <col min="2305" max="2306" width="9.5703125" style="119" bestFit="1" customWidth="1"/>
    <col min="2307" max="2307" width="9.28515625" style="119" bestFit="1" customWidth="1"/>
    <col min="2308" max="2313" width="9.5703125" style="119" bestFit="1" customWidth="1"/>
    <col min="2314" max="2314" width="10.28515625" style="119" bestFit="1" customWidth="1"/>
    <col min="2315" max="2559" width="9.140625" style="119"/>
    <col min="2560" max="2560" width="38.140625" style="119" customWidth="1"/>
    <col min="2561" max="2562" width="9.5703125" style="119" bestFit="1" customWidth="1"/>
    <col min="2563" max="2563" width="9.28515625" style="119" bestFit="1" customWidth="1"/>
    <col min="2564" max="2569" width="9.5703125" style="119" bestFit="1" customWidth="1"/>
    <col min="2570" max="2570" width="10.28515625" style="119" bestFit="1" customWidth="1"/>
    <col min="2571" max="2815" width="9.140625" style="119"/>
    <col min="2816" max="2816" width="38.140625" style="119" customWidth="1"/>
    <col min="2817" max="2818" width="9.5703125" style="119" bestFit="1" customWidth="1"/>
    <col min="2819" max="2819" width="9.28515625" style="119" bestFit="1" customWidth="1"/>
    <col min="2820" max="2825" width="9.5703125" style="119" bestFit="1" customWidth="1"/>
    <col min="2826" max="2826" width="10.28515625" style="119" bestFit="1" customWidth="1"/>
    <col min="2827" max="3071" width="9.140625" style="119"/>
    <col min="3072" max="3072" width="38.140625" style="119" customWidth="1"/>
    <col min="3073" max="3074" width="9.5703125" style="119" bestFit="1" customWidth="1"/>
    <col min="3075" max="3075" width="9.28515625" style="119" bestFit="1" customWidth="1"/>
    <col min="3076" max="3081" width="9.5703125" style="119" bestFit="1" customWidth="1"/>
    <col min="3082" max="3082" width="10.28515625" style="119" bestFit="1" customWidth="1"/>
    <col min="3083" max="3327" width="9.140625" style="119"/>
    <col min="3328" max="3328" width="38.140625" style="119" customWidth="1"/>
    <col min="3329" max="3330" width="9.5703125" style="119" bestFit="1" customWidth="1"/>
    <col min="3331" max="3331" width="9.28515625" style="119" bestFit="1" customWidth="1"/>
    <col min="3332" max="3337" width="9.5703125" style="119" bestFit="1" customWidth="1"/>
    <col min="3338" max="3338" width="10.28515625" style="119" bestFit="1" customWidth="1"/>
    <col min="3339" max="3583" width="9.140625" style="119"/>
    <col min="3584" max="3584" width="38.140625" style="119" customWidth="1"/>
    <col min="3585" max="3586" width="9.5703125" style="119" bestFit="1" customWidth="1"/>
    <col min="3587" max="3587" width="9.28515625" style="119" bestFit="1" customWidth="1"/>
    <col min="3588" max="3593" width="9.5703125" style="119" bestFit="1" customWidth="1"/>
    <col min="3594" max="3594" width="10.28515625" style="119" bestFit="1" customWidth="1"/>
    <col min="3595" max="3839" width="9.140625" style="119"/>
    <col min="3840" max="3840" width="38.140625" style="119" customWidth="1"/>
    <col min="3841" max="3842" width="9.5703125" style="119" bestFit="1" customWidth="1"/>
    <col min="3843" max="3843" width="9.28515625" style="119" bestFit="1" customWidth="1"/>
    <col min="3844" max="3849" width="9.5703125" style="119" bestFit="1" customWidth="1"/>
    <col min="3850" max="3850" width="10.28515625" style="119" bestFit="1" customWidth="1"/>
    <col min="3851" max="4095" width="9.140625" style="119"/>
    <col min="4096" max="4096" width="38.140625" style="119" customWidth="1"/>
    <col min="4097" max="4098" width="9.5703125" style="119" bestFit="1" customWidth="1"/>
    <col min="4099" max="4099" width="9.28515625" style="119" bestFit="1" customWidth="1"/>
    <col min="4100" max="4105" width="9.5703125" style="119" bestFit="1" customWidth="1"/>
    <col min="4106" max="4106" width="10.28515625" style="119" bestFit="1" customWidth="1"/>
    <col min="4107" max="4351" width="9.140625" style="119"/>
    <col min="4352" max="4352" width="38.140625" style="119" customWidth="1"/>
    <col min="4353" max="4354" width="9.5703125" style="119" bestFit="1" customWidth="1"/>
    <col min="4355" max="4355" width="9.28515625" style="119" bestFit="1" customWidth="1"/>
    <col min="4356" max="4361" width="9.5703125" style="119" bestFit="1" customWidth="1"/>
    <col min="4362" max="4362" width="10.28515625" style="119" bestFit="1" customWidth="1"/>
    <col min="4363" max="4607" width="9.140625" style="119"/>
    <col min="4608" max="4608" width="38.140625" style="119" customWidth="1"/>
    <col min="4609" max="4610" width="9.5703125" style="119" bestFit="1" customWidth="1"/>
    <col min="4611" max="4611" width="9.28515625" style="119" bestFit="1" customWidth="1"/>
    <col min="4612" max="4617" width="9.5703125" style="119" bestFit="1" customWidth="1"/>
    <col min="4618" max="4618" width="10.28515625" style="119" bestFit="1" customWidth="1"/>
    <col min="4619" max="4863" width="9.140625" style="119"/>
    <col min="4864" max="4864" width="38.140625" style="119" customWidth="1"/>
    <col min="4865" max="4866" width="9.5703125" style="119" bestFit="1" customWidth="1"/>
    <col min="4867" max="4867" width="9.28515625" style="119" bestFit="1" customWidth="1"/>
    <col min="4868" max="4873" width="9.5703125" style="119" bestFit="1" customWidth="1"/>
    <col min="4874" max="4874" width="10.28515625" style="119" bestFit="1" customWidth="1"/>
    <col min="4875" max="5119" width="9.140625" style="119"/>
    <col min="5120" max="5120" width="38.140625" style="119" customWidth="1"/>
    <col min="5121" max="5122" width="9.5703125" style="119" bestFit="1" customWidth="1"/>
    <col min="5123" max="5123" width="9.28515625" style="119" bestFit="1" customWidth="1"/>
    <col min="5124" max="5129" width="9.5703125" style="119" bestFit="1" customWidth="1"/>
    <col min="5130" max="5130" width="10.28515625" style="119" bestFit="1" customWidth="1"/>
    <col min="5131" max="5375" width="9.140625" style="119"/>
    <col min="5376" max="5376" width="38.140625" style="119" customWidth="1"/>
    <col min="5377" max="5378" width="9.5703125" style="119" bestFit="1" customWidth="1"/>
    <col min="5379" max="5379" width="9.28515625" style="119" bestFit="1" customWidth="1"/>
    <col min="5380" max="5385" width="9.5703125" style="119" bestFit="1" customWidth="1"/>
    <col min="5386" max="5386" width="10.28515625" style="119" bestFit="1" customWidth="1"/>
    <col min="5387" max="5631" width="9.140625" style="119"/>
    <col min="5632" max="5632" width="38.140625" style="119" customWidth="1"/>
    <col min="5633" max="5634" width="9.5703125" style="119" bestFit="1" customWidth="1"/>
    <col min="5635" max="5635" width="9.28515625" style="119" bestFit="1" customWidth="1"/>
    <col min="5636" max="5641" width="9.5703125" style="119" bestFit="1" customWidth="1"/>
    <col min="5642" max="5642" width="10.28515625" style="119" bestFit="1" customWidth="1"/>
    <col min="5643" max="5887" width="9.140625" style="119"/>
    <col min="5888" max="5888" width="38.140625" style="119" customWidth="1"/>
    <col min="5889" max="5890" width="9.5703125" style="119" bestFit="1" customWidth="1"/>
    <col min="5891" max="5891" width="9.28515625" style="119" bestFit="1" customWidth="1"/>
    <col min="5892" max="5897" width="9.5703125" style="119" bestFit="1" customWidth="1"/>
    <col min="5898" max="5898" width="10.28515625" style="119" bestFit="1" customWidth="1"/>
    <col min="5899" max="6143" width="9.140625" style="119"/>
    <col min="6144" max="6144" width="38.140625" style="119" customWidth="1"/>
    <col min="6145" max="6146" width="9.5703125" style="119" bestFit="1" customWidth="1"/>
    <col min="6147" max="6147" width="9.28515625" style="119" bestFit="1" customWidth="1"/>
    <col min="6148" max="6153" width="9.5703125" style="119" bestFit="1" customWidth="1"/>
    <col min="6154" max="6154" width="10.28515625" style="119" bestFit="1" customWidth="1"/>
    <col min="6155" max="6399" width="9.140625" style="119"/>
    <col min="6400" max="6400" width="38.140625" style="119" customWidth="1"/>
    <col min="6401" max="6402" width="9.5703125" style="119" bestFit="1" customWidth="1"/>
    <col min="6403" max="6403" width="9.28515625" style="119" bestFit="1" customWidth="1"/>
    <col min="6404" max="6409" width="9.5703125" style="119" bestFit="1" customWidth="1"/>
    <col min="6410" max="6410" width="10.28515625" style="119" bestFit="1" customWidth="1"/>
    <col min="6411" max="6655" width="9.140625" style="119"/>
    <col min="6656" max="6656" width="38.140625" style="119" customWidth="1"/>
    <col min="6657" max="6658" width="9.5703125" style="119" bestFit="1" customWidth="1"/>
    <col min="6659" max="6659" width="9.28515625" style="119" bestFit="1" customWidth="1"/>
    <col min="6660" max="6665" width="9.5703125" style="119" bestFit="1" customWidth="1"/>
    <col min="6666" max="6666" width="10.28515625" style="119" bestFit="1" customWidth="1"/>
    <col min="6667" max="6911" width="9.140625" style="119"/>
    <col min="6912" max="6912" width="38.140625" style="119" customWidth="1"/>
    <col min="6913" max="6914" width="9.5703125" style="119" bestFit="1" customWidth="1"/>
    <col min="6915" max="6915" width="9.28515625" style="119" bestFit="1" customWidth="1"/>
    <col min="6916" max="6921" width="9.5703125" style="119" bestFit="1" customWidth="1"/>
    <col min="6922" max="6922" width="10.28515625" style="119" bestFit="1" customWidth="1"/>
    <col min="6923" max="7167" width="9.140625" style="119"/>
    <col min="7168" max="7168" width="38.140625" style="119" customWidth="1"/>
    <col min="7169" max="7170" width="9.5703125" style="119" bestFit="1" customWidth="1"/>
    <col min="7171" max="7171" width="9.28515625" style="119" bestFit="1" customWidth="1"/>
    <col min="7172" max="7177" width="9.5703125" style="119" bestFit="1" customWidth="1"/>
    <col min="7178" max="7178" width="10.28515625" style="119" bestFit="1" customWidth="1"/>
    <col min="7179" max="7423" width="9.140625" style="119"/>
    <col min="7424" max="7424" width="38.140625" style="119" customWidth="1"/>
    <col min="7425" max="7426" width="9.5703125" style="119" bestFit="1" customWidth="1"/>
    <col min="7427" max="7427" width="9.28515625" style="119" bestFit="1" customWidth="1"/>
    <col min="7428" max="7433" width="9.5703125" style="119" bestFit="1" customWidth="1"/>
    <col min="7434" max="7434" width="10.28515625" style="119" bestFit="1" customWidth="1"/>
    <col min="7435" max="7679" width="9.140625" style="119"/>
    <col min="7680" max="7680" width="38.140625" style="119" customWidth="1"/>
    <col min="7681" max="7682" width="9.5703125" style="119" bestFit="1" customWidth="1"/>
    <col min="7683" max="7683" width="9.28515625" style="119" bestFit="1" customWidth="1"/>
    <col min="7684" max="7689" width="9.5703125" style="119" bestFit="1" customWidth="1"/>
    <col min="7690" max="7690" width="10.28515625" style="119" bestFit="1" customWidth="1"/>
    <col min="7691" max="7935" width="9.140625" style="119"/>
    <col min="7936" max="7936" width="38.140625" style="119" customWidth="1"/>
    <col min="7937" max="7938" width="9.5703125" style="119" bestFit="1" customWidth="1"/>
    <col min="7939" max="7939" width="9.28515625" style="119" bestFit="1" customWidth="1"/>
    <col min="7940" max="7945" width="9.5703125" style="119" bestFit="1" customWidth="1"/>
    <col min="7946" max="7946" width="10.28515625" style="119" bestFit="1" customWidth="1"/>
    <col min="7947" max="8191" width="9.140625" style="119"/>
    <col min="8192" max="8192" width="38.140625" style="119" customWidth="1"/>
    <col min="8193" max="8194" width="9.5703125" style="119" bestFit="1" customWidth="1"/>
    <col min="8195" max="8195" width="9.28515625" style="119" bestFit="1" customWidth="1"/>
    <col min="8196" max="8201" width="9.5703125" style="119" bestFit="1" customWidth="1"/>
    <col min="8202" max="8202" width="10.28515625" style="119" bestFit="1" customWidth="1"/>
    <col min="8203" max="8447" width="9.140625" style="119"/>
    <col min="8448" max="8448" width="38.140625" style="119" customWidth="1"/>
    <col min="8449" max="8450" width="9.5703125" style="119" bestFit="1" customWidth="1"/>
    <col min="8451" max="8451" width="9.28515625" style="119" bestFit="1" customWidth="1"/>
    <col min="8452" max="8457" width="9.5703125" style="119" bestFit="1" customWidth="1"/>
    <col min="8458" max="8458" width="10.28515625" style="119" bestFit="1" customWidth="1"/>
    <col min="8459" max="8703" width="9.140625" style="119"/>
    <col min="8704" max="8704" width="38.140625" style="119" customWidth="1"/>
    <col min="8705" max="8706" width="9.5703125" style="119" bestFit="1" customWidth="1"/>
    <col min="8707" max="8707" width="9.28515625" style="119" bestFit="1" customWidth="1"/>
    <col min="8708" max="8713" width="9.5703125" style="119" bestFit="1" customWidth="1"/>
    <col min="8714" max="8714" width="10.28515625" style="119" bestFit="1" customWidth="1"/>
    <col min="8715" max="8959" width="9.140625" style="119"/>
    <col min="8960" max="8960" width="38.140625" style="119" customWidth="1"/>
    <col min="8961" max="8962" width="9.5703125" style="119" bestFit="1" customWidth="1"/>
    <col min="8963" max="8963" width="9.28515625" style="119" bestFit="1" customWidth="1"/>
    <col min="8964" max="8969" width="9.5703125" style="119" bestFit="1" customWidth="1"/>
    <col min="8970" max="8970" width="10.28515625" style="119" bestFit="1" customWidth="1"/>
    <col min="8971" max="9215" width="9.140625" style="119"/>
    <col min="9216" max="9216" width="38.140625" style="119" customWidth="1"/>
    <col min="9217" max="9218" width="9.5703125" style="119" bestFit="1" customWidth="1"/>
    <col min="9219" max="9219" width="9.28515625" style="119" bestFit="1" customWidth="1"/>
    <col min="9220" max="9225" width="9.5703125" style="119" bestFit="1" customWidth="1"/>
    <col min="9226" max="9226" width="10.28515625" style="119" bestFit="1" customWidth="1"/>
    <col min="9227" max="9471" width="9.140625" style="119"/>
    <col min="9472" max="9472" width="38.140625" style="119" customWidth="1"/>
    <col min="9473" max="9474" width="9.5703125" style="119" bestFit="1" customWidth="1"/>
    <col min="9475" max="9475" width="9.28515625" style="119" bestFit="1" customWidth="1"/>
    <col min="9476" max="9481" width="9.5703125" style="119" bestFit="1" customWidth="1"/>
    <col min="9482" max="9482" width="10.28515625" style="119" bestFit="1" customWidth="1"/>
    <col min="9483" max="9727" width="9.140625" style="119"/>
    <col min="9728" max="9728" width="38.140625" style="119" customWidth="1"/>
    <col min="9729" max="9730" width="9.5703125" style="119" bestFit="1" customWidth="1"/>
    <col min="9731" max="9731" width="9.28515625" style="119" bestFit="1" customWidth="1"/>
    <col min="9732" max="9737" width="9.5703125" style="119" bestFit="1" customWidth="1"/>
    <col min="9738" max="9738" width="10.28515625" style="119" bestFit="1" customWidth="1"/>
    <col min="9739" max="9983" width="9.140625" style="119"/>
    <col min="9984" max="9984" width="38.140625" style="119" customWidth="1"/>
    <col min="9985" max="9986" width="9.5703125" style="119" bestFit="1" customWidth="1"/>
    <col min="9987" max="9987" width="9.28515625" style="119" bestFit="1" customWidth="1"/>
    <col min="9988" max="9993" width="9.5703125" style="119" bestFit="1" customWidth="1"/>
    <col min="9994" max="9994" width="10.28515625" style="119" bestFit="1" customWidth="1"/>
    <col min="9995" max="10239" width="9.140625" style="119"/>
    <col min="10240" max="10240" width="38.140625" style="119" customWidth="1"/>
    <col min="10241" max="10242" width="9.5703125" style="119" bestFit="1" customWidth="1"/>
    <col min="10243" max="10243" width="9.28515625" style="119" bestFit="1" customWidth="1"/>
    <col min="10244" max="10249" width="9.5703125" style="119" bestFit="1" customWidth="1"/>
    <col min="10250" max="10250" width="10.28515625" style="119" bestFit="1" customWidth="1"/>
    <col min="10251" max="10495" width="9.140625" style="119"/>
    <col min="10496" max="10496" width="38.140625" style="119" customWidth="1"/>
    <col min="10497" max="10498" width="9.5703125" style="119" bestFit="1" customWidth="1"/>
    <col min="10499" max="10499" width="9.28515625" style="119" bestFit="1" customWidth="1"/>
    <col min="10500" max="10505" width="9.5703125" style="119" bestFit="1" customWidth="1"/>
    <col min="10506" max="10506" width="10.28515625" style="119" bestFit="1" customWidth="1"/>
    <col min="10507" max="10751" width="9.140625" style="119"/>
    <col min="10752" max="10752" width="38.140625" style="119" customWidth="1"/>
    <col min="10753" max="10754" width="9.5703125" style="119" bestFit="1" customWidth="1"/>
    <col min="10755" max="10755" width="9.28515625" style="119" bestFit="1" customWidth="1"/>
    <col min="10756" max="10761" width="9.5703125" style="119" bestFit="1" customWidth="1"/>
    <col min="10762" max="10762" width="10.28515625" style="119" bestFit="1" customWidth="1"/>
    <col min="10763" max="11007" width="9.140625" style="119"/>
    <col min="11008" max="11008" width="38.140625" style="119" customWidth="1"/>
    <col min="11009" max="11010" width="9.5703125" style="119" bestFit="1" customWidth="1"/>
    <col min="11011" max="11011" width="9.28515625" style="119" bestFit="1" customWidth="1"/>
    <col min="11012" max="11017" width="9.5703125" style="119" bestFit="1" customWidth="1"/>
    <col min="11018" max="11018" width="10.28515625" style="119" bestFit="1" customWidth="1"/>
    <col min="11019" max="11263" width="9.140625" style="119"/>
    <col min="11264" max="11264" width="38.140625" style="119" customWidth="1"/>
    <col min="11265" max="11266" width="9.5703125" style="119" bestFit="1" customWidth="1"/>
    <col min="11267" max="11267" width="9.28515625" style="119" bestFit="1" customWidth="1"/>
    <col min="11268" max="11273" width="9.5703125" style="119" bestFit="1" customWidth="1"/>
    <col min="11274" max="11274" width="10.28515625" style="119" bestFit="1" customWidth="1"/>
    <col min="11275" max="11519" width="9.140625" style="119"/>
    <col min="11520" max="11520" width="38.140625" style="119" customWidth="1"/>
    <col min="11521" max="11522" width="9.5703125" style="119" bestFit="1" customWidth="1"/>
    <col min="11523" max="11523" width="9.28515625" style="119" bestFit="1" customWidth="1"/>
    <col min="11524" max="11529" width="9.5703125" style="119" bestFit="1" customWidth="1"/>
    <col min="11530" max="11530" width="10.28515625" style="119" bestFit="1" customWidth="1"/>
    <col min="11531" max="11775" width="9.140625" style="119"/>
    <col min="11776" max="11776" width="38.140625" style="119" customWidth="1"/>
    <col min="11777" max="11778" width="9.5703125" style="119" bestFit="1" customWidth="1"/>
    <col min="11779" max="11779" width="9.28515625" style="119" bestFit="1" customWidth="1"/>
    <col min="11780" max="11785" width="9.5703125" style="119" bestFit="1" customWidth="1"/>
    <col min="11786" max="11786" width="10.28515625" style="119" bestFit="1" customWidth="1"/>
    <col min="11787" max="12031" width="9.140625" style="119"/>
    <col min="12032" max="12032" width="38.140625" style="119" customWidth="1"/>
    <col min="12033" max="12034" width="9.5703125" style="119" bestFit="1" customWidth="1"/>
    <col min="12035" max="12035" width="9.28515625" style="119" bestFit="1" customWidth="1"/>
    <col min="12036" max="12041" width="9.5703125" style="119" bestFit="1" customWidth="1"/>
    <col min="12042" max="12042" width="10.28515625" style="119" bestFit="1" customWidth="1"/>
    <col min="12043" max="12287" width="9.140625" style="119"/>
    <col min="12288" max="12288" width="38.140625" style="119" customWidth="1"/>
    <col min="12289" max="12290" width="9.5703125" style="119" bestFit="1" customWidth="1"/>
    <col min="12291" max="12291" width="9.28515625" style="119" bestFit="1" customWidth="1"/>
    <col min="12292" max="12297" width="9.5703125" style="119" bestFit="1" customWidth="1"/>
    <col min="12298" max="12298" width="10.28515625" style="119" bestFit="1" customWidth="1"/>
    <col min="12299" max="12543" width="9.140625" style="119"/>
    <col min="12544" max="12544" width="38.140625" style="119" customWidth="1"/>
    <col min="12545" max="12546" width="9.5703125" style="119" bestFit="1" customWidth="1"/>
    <col min="12547" max="12547" width="9.28515625" style="119" bestFit="1" customWidth="1"/>
    <col min="12548" max="12553" width="9.5703125" style="119" bestFit="1" customWidth="1"/>
    <col min="12554" max="12554" width="10.28515625" style="119" bestFit="1" customWidth="1"/>
    <col min="12555" max="12799" width="9.140625" style="119"/>
    <col min="12800" max="12800" width="38.140625" style="119" customWidth="1"/>
    <col min="12801" max="12802" width="9.5703125" style="119" bestFit="1" customWidth="1"/>
    <col min="12803" max="12803" width="9.28515625" style="119" bestFit="1" customWidth="1"/>
    <col min="12804" max="12809" width="9.5703125" style="119" bestFit="1" customWidth="1"/>
    <col min="12810" max="12810" width="10.28515625" style="119" bestFit="1" customWidth="1"/>
    <col min="12811" max="13055" width="9.140625" style="119"/>
    <col min="13056" max="13056" width="38.140625" style="119" customWidth="1"/>
    <col min="13057" max="13058" width="9.5703125" style="119" bestFit="1" customWidth="1"/>
    <col min="13059" max="13059" width="9.28515625" style="119" bestFit="1" customWidth="1"/>
    <col min="13060" max="13065" width="9.5703125" style="119" bestFit="1" customWidth="1"/>
    <col min="13066" max="13066" width="10.28515625" style="119" bestFit="1" customWidth="1"/>
    <col min="13067" max="13311" width="9.140625" style="119"/>
    <col min="13312" max="13312" width="38.140625" style="119" customWidth="1"/>
    <col min="13313" max="13314" width="9.5703125" style="119" bestFit="1" customWidth="1"/>
    <col min="13315" max="13315" width="9.28515625" style="119" bestFit="1" customWidth="1"/>
    <col min="13316" max="13321" width="9.5703125" style="119" bestFit="1" customWidth="1"/>
    <col min="13322" max="13322" width="10.28515625" style="119" bestFit="1" customWidth="1"/>
    <col min="13323" max="13567" width="9.140625" style="119"/>
    <col min="13568" max="13568" width="38.140625" style="119" customWidth="1"/>
    <col min="13569" max="13570" width="9.5703125" style="119" bestFit="1" customWidth="1"/>
    <col min="13571" max="13571" width="9.28515625" style="119" bestFit="1" customWidth="1"/>
    <col min="13572" max="13577" width="9.5703125" style="119" bestFit="1" customWidth="1"/>
    <col min="13578" max="13578" width="10.28515625" style="119" bestFit="1" customWidth="1"/>
    <col min="13579" max="13823" width="9.140625" style="119"/>
    <col min="13824" max="13824" width="38.140625" style="119" customWidth="1"/>
    <col min="13825" max="13826" width="9.5703125" style="119" bestFit="1" customWidth="1"/>
    <col min="13827" max="13827" width="9.28515625" style="119" bestFit="1" customWidth="1"/>
    <col min="13828" max="13833" width="9.5703125" style="119" bestFit="1" customWidth="1"/>
    <col min="13834" max="13834" width="10.28515625" style="119" bestFit="1" customWidth="1"/>
    <col min="13835" max="14079" width="9.140625" style="119"/>
    <col min="14080" max="14080" width="38.140625" style="119" customWidth="1"/>
    <col min="14081" max="14082" width="9.5703125" style="119" bestFit="1" customWidth="1"/>
    <col min="14083" max="14083" width="9.28515625" style="119" bestFit="1" customWidth="1"/>
    <col min="14084" max="14089" width="9.5703125" style="119" bestFit="1" customWidth="1"/>
    <col min="14090" max="14090" width="10.28515625" style="119" bestFit="1" customWidth="1"/>
    <col min="14091" max="14335" width="9.140625" style="119"/>
    <col min="14336" max="14336" width="38.140625" style="119" customWidth="1"/>
    <col min="14337" max="14338" width="9.5703125" style="119" bestFit="1" customWidth="1"/>
    <col min="14339" max="14339" width="9.28515625" style="119" bestFit="1" customWidth="1"/>
    <col min="14340" max="14345" width="9.5703125" style="119" bestFit="1" customWidth="1"/>
    <col min="14346" max="14346" width="10.28515625" style="119" bestFit="1" customWidth="1"/>
    <col min="14347" max="14591" width="9.140625" style="119"/>
    <col min="14592" max="14592" width="38.140625" style="119" customWidth="1"/>
    <col min="14593" max="14594" width="9.5703125" style="119" bestFit="1" customWidth="1"/>
    <col min="14595" max="14595" width="9.28515625" style="119" bestFit="1" customWidth="1"/>
    <col min="14596" max="14601" width="9.5703125" style="119" bestFit="1" customWidth="1"/>
    <col min="14602" max="14602" width="10.28515625" style="119" bestFit="1" customWidth="1"/>
    <col min="14603" max="14847" width="9.140625" style="119"/>
    <col min="14848" max="14848" width="38.140625" style="119" customWidth="1"/>
    <col min="14849" max="14850" width="9.5703125" style="119" bestFit="1" customWidth="1"/>
    <col min="14851" max="14851" width="9.28515625" style="119" bestFit="1" customWidth="1"/>
    <col min="14852" max="14857" width="9.5703125" style="119" bestFit="1" customWidth="1"/>
    <col min="14858" max="14858" width="10.28515625" style="119" bestFit="1" customWidth="1"/>
    <col min="14859" max="15103" width="9.140625" style="119"/>
    <col min="15104" max="15104" width="38.140625" style="119" customWidth="1"/>
    <col min="15105" max="15106" width="9.5703125" style="119" bestFit="1" customWidth="1"/>
    <col min="15107" max="15107" width="9.28515625" style="119" bestFit="1" customWidth="1"/>
    <col min="15108" max="15113" width="9.5703125" style="119" bestFit="1" customWidth="1"/>
    <col min="15114" max="15114" width="10.28515625" style="119" bestFit="1" customWidth="1"/>
    <col min="15115" max="15359" width="9.140625" style="119"/>
    <col min="15360" max="15360" width="38.140625" style="119" customWidth="1"/>
    <col min="15361" max="15362" width="9.5703125" style="119" bestFit="1" customWidth="1"/>
    <col min="15363" max="15363" width="9.28515625" style="119" bestFit="1" customWidth="1"/>
    <col min="15364" max="15369" width="9.5703125" style="119" bestFit="1" customWidth="1"/>
    <col min="15370" max="15370" width="10.28515625" style="119" bestFit="1" customWidth="1"/>
    <col min="15371" max="15615" width="9.140625" style="119"/>
    <col min="15616" max="15616" width="38.140625" style="119" customWidth="1"/>
    <col min="15617" max="15618" width="9.5703125" style="119" bestFit="1" customWidth="1"/>
    <col min="15619" max="15619" width="9.28515625" style="119" bestFit="1" customWidth="1"/>
    <col min="15620" max="15625" width="9.5703125" style="119" bestFit="1" customWidth="1"/>
    <col min="15626" max="15626" width="10.28515625" style="119" bestFit="1" customWidth="1"/>
    <col min="15627" max="15871" width="9.140625" style="119"/>
    <col min="15872" max="15872" width="38.140625" style="119" customWidth="1"/>
    <col min="15873" max="15874" width="9.5703125" style="119" bestFit="1" customWidth="1"/>
    <col min="15875" max="15875" width="9.28515625" style="119" bestFit="1" customWidth="1"/>
    <col min="15876" max="15881" width="9.5703125" style="119" bestFit="1" customWidth="1"/>
    <col min="15882" max="15882" width="10.28515625" style="119" bestFit="1" customWidth="1"/>
    <col min="15883" max="16127" width="9.140625" style="119"/>
    <col min="16128" max="16128" width="38.140625" style="119" customWidth="1"/>
    <col min="16129" max="16130" width="9.5703125" style="119" bestFit="1" customWidth="1"/>
    <col min="16131" max="16131" width="9.28515625" style="119" bestFit="1" customWidth="1"/>
    <col min="16132" max="16137" width="9.5703125" style="119" bestFit="1" customWidth="1"/>
    <col min="16138" max="16138" width="10.28515625" style="119" bestFit="1" customWidth="1"/>
    <col min="16139" max="16384" width="9.140625" style="119"/>
  </cols>
  <sheetData>
    <row r="1" spans="1:12" ht="17.100000000000001" customHeight="1">
      <c r="A1" s="1105" t="s">
        <v>279</v>
      </c>
      <c r="B1" s="1106"/>
      <c r="C1" s="1106"/>
      <c r="D1" s="1106"/>
      <c r="E1" s="1106"/>
      <c r="F1" s="1106"/>
      <c r="G1" s="1106"/>
      <c r="H1" s="1106"/>
      <c r="I1" s="1106"/>
      <c r="J1" s="1107"/>
    </row>
    <row r="2" spans="1:12" ht="17.100000000000001" customHeight="1">
      <c r="A2" s="1130" t="s">
        <v>280</v>
      </c>
      <c r="B2" s="1131"/>
      <c r="C2" s="1131"/>
      <c r="D2" s="1131"/>
      <c r="E2" s="1131"/>
      <c r="F2" s="1131"/>
      <c r="G2" s="1131"/>
      <c r="H2" s="1131"/>
      <c r="I2" s="1131"/>
      <c r="J2" s="1132"/>
    </row>
    <row r="3" spans="1:12" ht="17.100000000000001" customHeight="1">
      <c r="A3" s="842" t="s">
        <v>281</v>
      </c>
      <c r="B3" s="134" t="s">
        <v>259</v>
      </c>
      <c r="C3" s="134" t="s">
        <v>260</v>
      </c>
      <c r="D3" s="134" t="s">
        <v>261</v>
      </c>
      <c r="E3" s="134" t="s">
        <v>262</v>
      </c>
      <c r="F3" s="134" t="s">
        <v>263</v>
      </c>
      <c r="G3" s="134" t="s">
        <v>264</v>
      </c>
      <c r="H3" s="134" t="s">
        <v>265</v>
      </c>
      <c r="I3" s="134" t="s">
        <v>266</v>
      </c>
      <c r="J3" s="508" t="s">
        <v>267</v>
      </c>
      <c r="K3" s="135"/>
    </row>
    <row r="4" spans="1:12" ht="17.100000000000001" customHeight="1">
      <c r="A4" s="1127"/>
      <c r="B4" s="1128"/>
      <c r="C4" s="1128"/>
      <c r="D4" s="1128"/>
      <c r="E4" s="1128"/>
      <c r="F4" s="1128"/>
      <c r="G4" s="1128"/>
      <c r="H4" s="1128"/>
      <c r="I4" s="1128"/>
      <c r="J4" s="1129"/>
    </row>
    <row r="5" spans="1:12" ht="17.100000000000001" customHeight="1">
      <c r="A5" s="843" t="s">
        <v>282</v>
      </c>
      <c r="B5" s="840">
        <f>Profitability!B17</f>
        <v>354.64248356481892</v>
      </c>
      <c r="C5" s="840">
        <f>Profitability!C17</f>
        <v>670.71408746261022</v>
      </c>
      <c r="D5" s="840">
        <f>Profitability!D17</f>
        <v>873.77726954662262</v>
      </c>
      <c r="E5" s="840">
        <f>Profitability!E17</f>
        <v>943.32067286108793</v>
      </c>
      <c r="F5" s="840">
        <f>Profitability!F17</f>
        <v>1018.7899639098156</v>
      </c>
      <c r="G5" s="840">
        <f>Profitability!G17</f>
        <v>1097.8198846898172</v>
      </c>
      <c r="H5" s="840">
        <f>Profitability!H17</f>
        <v>1181.7339150165635</v>
      </c>
      <c r="I5" s="840">
        <f>Profitability!I17</f>
        <v>1270.2494041812583</v>
      </c>
      <c r="J5" s="844">
        <f>Profitability!J17</f>
        <v>1362.6034221557443</v>
      </c>
    </row>
    <row r="6" spans="1:12" ht="17.100000000000001" customHeight="1">
      <c r="A6" s="843" t="s">
        <v>283</v>
      </c>
      <c r="B6" s="840">
        <f>'Interest Calculation'!B25</f>
        <v>311.95873258559999</v>
      </c>
      <c r="C6" s="840">
        <f>'Interest Calculation'!C25</f>
        <v>301.56010816608</v>
      </c>
      <c r="D6" s="840">
        <f>'Interest Calculation'!D25</f>
        <v>259.96561048799998</v>
      </c>
      <c r="E6" s="840">
        <f>'Interest Calculation'!E25</f>
        <v>218.37111280991996</v>
      </c>
      <c r="F6" s="840">
        <f>'Interest Calculation'!F25</f>
        <v>176.77661513183995</v>
      </c>
      <c r="G6" s="840">
        <f>'Interest Calculation'!G25</f>
        <v>84.790370936639974</v>
      </c>
      <c r="H6" s="840">
        <f>'Interest Calculation'!H25</f>
        <v>63.993122097599965</v>
      </c>
      <c r="I6" s="840">
        <f>'Interest Calculation'!I25</f>
        <v>43.195873258559956</v>
      </c>
      <c r="J6" s="844">
        <f>'Interest Calculation'!J25</f>
        <v>22.398624419519962</v>
      </c>
    </row>
    <row r="7" spans="1:12" ht="17.100000000000001" customHeight="1">
      <c r="A7" s="1127"/>
      <c r="B7" s="1128"/>
      <c r="C7" s="1128"/>
      <c r="D7" s="1128"/>
      <c r="E7" s="1128"/>
      <c r="F7" s="1128"/>
      <c r="G7" s="1128"/>
      <c r="H7" s="1128"/>
      <c r="I7" s="1128"/>
      <c r="J7" s="1129"/>
    </row>
    <row r="8" spans="1:12" s="120" customFormat="1" ht="17.100000000000001" customHeight="1">
      <c r="A8" s="505" t="s">
        <v>366</v>
      </c>
      <c r="B8" s="841">
        <f t="shared" ref="B8:J8" si="0">SUM(B5:B6)</f>
        <v>666.60121615041885</v>
      </c>
      <c r="C8" s="841">
        <f t="shared" si="0"/>
        <v>972.27419562869022</v>
      </c>
      <c r="D8" s="841">
        <f t="shared" si="0"/>
        <v>1133.7428800346227</v>
      </c>
      <c r="E8" s="841">
        <f t="shared" si="0"/>
        <v>1161.6917856710079</v>
      </c>
      <c r="F8" s="841">
        <f t="shared" si="0"/>
        <v>1195.5665790416556</v>
      </c>
      <c r="G8" s="841">
        <f t="shared" si="0"/>
        <v>1182.610255626457</v>
      </c>
      <c r="H8" s="841">
        <f t="shared" si="0"/>
        <v>1245.7270371141635</v>
      </c>
      <c r="I8" s="841">
        <f t="shared" si="0"/>
        <v>1313.4452774398183</v>
      </c>
      <c r="J8" s="845">
        <f t="shared" si="0"/>
        <v>1385.0020465752643</v>
      </c>
      <c r="L8" s="136"/>
    </row>
    <row r="9" spans="1:12" ht="17.100000000000001" customHeight="1">
      <c r="A9" s="1127"/>
      <c r="B9" s="1128"/>
      <c r="C9" s="1128"/>
      <c r="D9" s="1128"/>
      <c r="E9" s="1128"/>
      <c r="F9" s="1128"/>
      <c r="G9" s="1128"/>
      <c r="H9" s="1128"/>
      <c r="I9" s="1128"/>
      <c r="J9" s="1129"/>
    </row>
    <row r="10" spans="1:12" ht="17.100000000000001" customHeight="1">
      <c r="A10" s="843" t="s">
        <v>367</v>
      </c>
      <c r="B10" s="840">
        <f t="shared" ref="B10:J10" si="1">+B6</f>
        <v>311.95873258559999</v>
      </c>
      <c r="C10" s="840">
        <f t="shared" si="1"/>
        <v>301.56010816608</v>
      </c>
      <c r="D10" s="840">
        <f t="shared" si="1"/>
        <v>259.96561048799998</v>
      </c>
      <c r="E10" s="840">
        <f t="shared" si="1"/>
        <v>218.37111280991996</v>
      </c>
      <c r="F10" s="840">
        <f t="shared" si="1"/>
        <v>176.77661513183995</v>
      </c>
      <c r="G10" s="840">
        <f t="shared" si="1"/>
        <v>84.790370936639974</v>
      </c>
      <c r="H10" s="840">
        <f t="shared" si="1"/>
        <v>63.993122097599965</v>
      </c>
      <c r="I10" s="840">
        <f t="shared" si="1"/>
        <v>43.195873258559956</v>
      </c>
      <c r="J10" s="844">
        <f t="shared" si="1"/>
        <v>22.398624419519962</v>
      </c>
    </row>
    <row r="11" spans="1:12" ht="17.100000000000001" customHeight="1">
      <c r="A11" s="843" t="s">
        <v>368</v>
      </c>
      <c r="B11" s="840">
        <f>'Interest Calculation'!B9</f>
        <v>0</v>
      </c>
      <c r="C11" s="840">
        <f>'Interest Calculation'!C22</f>
        <v>415.94497678079995</v>
      </c>
      <c r="D11" s="840">
        <f>'Interest Calculation'!D22</f>
        <v>415.94497678079995</v>
      </c>
      <c r="E11" s="840">
        <f>'Interest Calculation'!E22</f>
        <v>415.94497678079995</v>
      </c>
      <c r="F11" s="840">
        <f>'Interest Calculation'!F22</f>
        <v>415.94497678079995</v>
      </c>
      <c r="G11" s="840">
        <f>'Interest Calculation'!G22</f>
        <v>415.94497678079995</v>
      </c>
      <c r="H11" s="840">
        <f>'Interest Calculation'!H22</f>
        <v>415.94497678079995</v>
      </c>
      <c r="I11" s="840">
        <f>'Interest Calculation'!I22</f>
        <v>415.94497678079995</v>
      </c>
      <c r="J11" s="844">
        <f>'Interest Calculation'!J22</f>
        <v>415.94497678079995</v>
      </c>
    </row>
    <row r="12" spans="1:12" ht="17.100000000000001" customHeight="1">
      <c r="A12" s="1127"/>
      <c r="B12" s="1128"/>
      <c r="C12" s="1128"/>
      <c r="D12" s="1128"/>
      <c r="E12" s="1128"/>
      <c r="F12" s="1128"/>
      <c r="G12" s="1128"/>
      <c r="H12" s="1128"/>
      <c r="I12" s="1128"/>
      <c r="J12" s="1129"/>
    </row>
    <row r="13" spans="1:12" s="120" customFormat="1" ht="17.100000000000001" customHeight="1">
      <c r="A13" s="505" t="s">
        <v>369</v>
      </c>
      <c r="B13" s="841">
        <f t="shared" ref="B13:J13" si="2">SUM(B10:B11)</f>
        <v>311.95873258559999</v>
      </c>
      <c r="C13" s="841">
        <f t="shared" si="2"/>
        <v>717.50508494687995</v>
      </c>
      <c r="D13" s="841">
        <f t="shared" si="2"/>
        <v>675.91058726879987</v>
      </c>
      <c r="E13" s="841">
        <f t="shared" si="2"/>
        <v>634.31608959071991</v>
      </c>
      <c r="F13" s="841">
        <f t="shared" si="2"/>
        <v>592.72159191263995</v>
      </c>
      <c r="G13" s="841">
        <f t="shared" si="2"/>
        <v>500.73534771743994</v>
      </c>
      <c r="H13" s="841">
        <f t="shared" si="2"/>
        <v>479.9380988783999</v>
      </c>
      <c r="I13" s="841">
        <f t="shared" si="2"/>
        <v>459.14085003935992</v>
      </c>
      <c r="J13" s="845">
        <f t="shared" si="2"/>
        <v>438.34360120031988</v>
      </c>
      <c r="L13" s="136"/>
    </row>
    <row r="14" spans="1:12" ht="17.100000000000001" customHeight="1">
      <c r="A14" s="1127"/>
      <c r="B14" s="1128"/>
      <c r="C14" s="1128"/>
      <c r="D14" s="1128"/>
      <c r="E14" s="1128"/>
      <c r="F14" s="1128"/>
      <c r="G14" s="1128"/>
      <c r="H14" s="1128"/>
      <c r="I14" s="1128"/>
      <c r="J14" s="1129"/>
    </row>
    <row r="15" spans="1:12" s="120" customFormat="1" ht="17.100000000000001" customHeight="1">
      <c r="A15" s="842" t="s">
        <v>370</v>
      </c>
      <c r="B15" s="841">
        <f t="shared" ref="B15:J15" si="3">+B8/B13</f>
        <v>2.1368249916437478</v>
      </c>
      <c r="C15" s="841">
        <f t="shared" si="3"/>
        <v>1.3550763834665673</v>
      </c>
      <c r="D15" s="841">
        <f t="shared" si="3"/>
        <v>1.6773562973999541</v>
      </c>
      <c r="E15" s="841">
        <f t="shared" si="3"/>
        <v>1.8314083541859498</v>
      </c>
      <c r="F15" s="841">
        <f t="shared" si="3"/>
        <v>2.0170795114510822</v>
      </c>
      <c r="G15" s="841">
        <f t="shared" si="3"/>
        <v>2.3617471005737594</v>
      </c>
      <c r="H15" s="841">
        <f t="shared" si="3"/>
        <v>2.5955993908910089</v>
      </c>
      <c r="I15" s="841">
        <f t="shared" si="3"/>
        <v>2.8606587223228406</v>
      </c>
      <c r="J15" s="845">
        <f t="shared" si="3"/>
        <v>3.159626472891818</v>
      </c>
    </row>
    <row r="16" spans="1:12" ht="17.100000000000001" customHeight="1">
      <c r="A16" s="1127"/>
      <c r="B16" s="1128"/>
      <c r="C16" s="1128"/>
      <c r="D16" s="1128"/>
      <c r="E16" s="1128"/>
      <c r="F16" s="1128"/>
      <c r="G16" s="1128"/>
      <c r="H16" s="1128"/>
      <c r="I16" s="1128"/>
      <c r="J16" s="1129"/>
    </row>
    <row r="17" spans="1:10" ht="17.100000000000001" customHeight="1">
      <c r="A17" s="846" t="s">
        <v>284</v>
      </c>
      <c r="B17" s="847">
        <f>SUM(B8:I8)/SUM(B13:I13)</f>
        <v>2.0290942073181539</v>
      </c>
      <c r="C17" s="848"/>
      <c r="D17" s="848"/>
      <c r="E17" s="848"/>
      <c r="F17" s="848"/>
      <c r="G17" s="848"/>
      <c r="H17" s="848"/>
      <c r="I17" s="848"/>
      <c r="J17" s="849"/>
    </row>
    <row r="18" spans="1:10" ht="17.100000000000001" customHeight="1">
      <c r="A18" s="121"/>
      <c r="B18" s="121"/>
      <c r="C18" s="121"/>
      <c r="D18" s="121"/>
      <c r="E18" s="121"/>
      <c r="F18" s="121"/>
      <c r="G18" s="121"/>
      <c r="H18" s="121"/>
      <c r="I18" s="121"/>
      <c r="J18" s="121"/>
    </row>
    <row r="21" spans="1:10">
      <c r="B21" s="137"/>
      <c r="D21" s="122"/>
      <c r="E21" s="122"/>
      <c r="F21" s="122"/>
      <c r="G21" s="122"/>
      <c r="H21" s="122"/>
      <c r="I21" s="122"/>
      <c r="J21" s="122"/>
    </row>
    <row r="22" spans="1:10">
      <c r="D22" s="122"/>
      <c r="E22" s="122"/>
      <c r="F22" s="122"/>
      <c r="G22" s="122"/>
      <c r="H22" s="122"/>
      <c r="I22" s="122"/>
      <c r="J22" s="122"/>
    </row>
    <row r="23" spans="1:10">
      <c r="D23" s="122"/>
      <c r="E23" s="122"/>
      <c r="F23" s="122"/>
      <c r="G23" s="122"/>
      <c r="H23" s="122"/>
      <c r="I23" s="122"/>
      <c r="J23" s="122"/>
    </row>
    <row r="24" spans="1:10">
      <c r="D24" s="122"/>
      <c r="E24" s="122"/>
      <c r="F24" s="122"/>
      <c r="G24" s="122"/>
      <c r="H24" s="122"/>
      <c r="I24" s="122"/>
      <c r="J24" s="122"/>
    </row>
    <row r="25" spans="1:10">
      <c r="D25" s="122"/>
      <c r="E25" s="122"/>
      <c r="F25" s="122"/>
      <c r="G25" s="122"/>
      <c r="H25" s="122"/>
      <c r="I25" s="122"/>
      <c r="J25" s="122"/>
    </row>
    <row r="26" spans="1:10">
      <c r="D26" s="122"/>
      <c r="E26" s="122"/>
      <c r="F26" s="122"/>
      <c r="G26" s="122"/>
      <c r="H26" s="122"/>
      <c r="I26" s="122"/>
      <c r="J26" s="122"/>
    </row>
    <row r="27" spans="1:10">
      <c r="D27" s="122"/>
      <c r="E27" s="122"/>
      <c r="F27" s="122"/>
      <c r="G27" s="122"/>
      <c r="H27" s="122"/>
      <c r="I27" s="122"/>
      <c r="J27" s="122"/>
    </row>
    <row r="28" spans="1:10">
      <c r="D28" s="122"/>
      <c r="E28" s="122"/>
      <c r="F28" s="122"/>
      <c r="G28" s="122"/>
      <c r="H28" s="122"/>
      <c r="I28" s="122"/>
      <c r="J28" s="122"/>
    </row>
    <row r="29" spans="1:10">
      <c r="D29" s="122"/>
      <c r="E29" s="122"/>
      <c r="F29" s="122"/>
      <c r="G29" s="122"/>
      <c r="H29" s="122"/>
      <c r="I29" s="122"/>
      <c r="J29" s="122"/>
    </row>
    <row r="30" spans="1:10">
      <c r="D30" s="122"/>
      <c r="E30" s="122"/>
      <c r="F30" s="122"/>
      <c r="G30" s="122"/>
      <c r="H30" s="122"/>
      <c r="I30" s="122"/>
      <c r="J30" s="122"/>
    </row>
    <row r="31" spans="1:10">
      <c r="D31" s="122"/>
      <c r="E31" s="122"/>
      <c r="F31" s="122"/>
      <c r="G31" s="122"/>
      <c r="H31" s="122"/>
      <c r="I31" s="122"/>
      <c r="J31" s="122"/>
    </row>
    <row r="32" spans="1:10">
      <c r="D32" s="122"/>
      <c r="E32" s="122"/>
      <c r="F32" s="122"/>
      <c r="G32" s="122"/>
      <c r="H32" s="122"/>
      <c r="I32" s="122"/>
      <c r="J32" s="122"/>
    </row>
    <row r="33" spans="4:10">
      <c r="D33" s="122"/>
      <c r="E33" s="122"/>
      <c r="F33" s="122"/>
      <c r="G33" s="122"/>
      <c r="H33" s="122"/>
      <c r="I33" s="122"/>
      <c r="J33" s="122"/>
    </row>
    <row r="34" spans="4:10">
      <c r="D34" s="122"/>
      <c r="E34" s="122"/>
      <c r="F34" s="122"/>
      <c r="G34" s="122"/>
      <c r="H34" s="122"/>
      <c r="I34" s="122"/>
      <c r="J34" s="122"/>
    </row>
    <row r="35" spans="4:10">
      <c r="D35" s="122"/>
      <c r="E35" s="122"/>
      <c r="F35" s="122"/>
      <c r="G35" s="122"/>
      <c r="H35" s="122"/>
      <c r="I35" s="122"/>
      <c r="J35" s="122"/>
    </row>
    <row r="36" spans="4:10">
      <c r="D36" s="122"/>
      <c r="E36" s="122"/>
      <c r="F36" s="122"/>
      <c r="G36" s="122"/>
      <c r="H36" s="122"/>
      <c r="I36" s="122"/>
      <c r="J36" s="122"/>
    </row>
    <row r="37" spans="4:10">
      <c r="D37" s="122"/>
      <c r="E37" s="122"/>
      <c r="F37" s="122"/>
      <c r="G37" s="122"/>
      <c r="H37" s="122"/>
      <c r="I37" s="122"/>
      <c r="J37" s="122"/>
    </row>
    <row r="38" spans="4:10">
      <c r="D38" s="122"/>
      <c r="E38" s="122"/>
      <c r="F38" s="122"/>
      <c r="G38" s="122"/>
      <c r="H38" s="122"/>
      <c r="I38" s="122"/>
      <c r="J38" s="122"/>
    </row>
    <row r="39" spans="4:10">
      <c r="D39" s="122"/>
      <c r="E39" s="122"/>
      <c r="F39" s="122"/>
      <c r="G39" s="122"/>
      <c r="H39" s="122"/>
      <c r="I39" s="122"/>
      <c r="J39" s="122"/>
    </row>
  </sheetData>
  <mergeCells count="8">
    <mergeCell ref="A14:J14"/>
    <mergeCell ref="A16:J16"/>
    <mergeCell ref="A1:J1"/>
    <mergeCell ref="A2:J2"/>
    <mergeCell ref="A4:J4"/>
    <mergeCell ref="A7:J7"/>
    <mergeCell ref="A9:J9"/>
    <mergeCell ref="A12:J12"/>
  </mergeCells>
  <printOptions gridLines="1"/>
  <pageMargins left="0.75" right="0.75" top="1" bottom="1" header="0.5" footer="0.5"/>
  <pageSetup paperSize="9" scale="95"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FFC1-BD72-4267-94FF-A11B89EC551B}">
  <sheetPr codeName="Sheet38"/>
  <dimension ref="A1:J17"/>
  <sheetViews>
    <sheetView showGridLines="0" topLeftCell="A25" zoomScale="90" zoomScaleNormal="90" workbookViewId="0">
      <selection activeCell="B41" sqref="B41"/>
    </sheetView>
  </sheetViews>
  <sheetFormatPr defaultRowHeight="15"/>
  <cols>
    <col min="1" max="1" width="31.140625" bestFit="1" customWidth="1"/>
  </cols>
  <sheetData>
    <row r="1" spans="1:10">
      <c r="A1" s="1105" t="s">
        <v>279</v>
      </c>
      <c r="B1" s="1106"/>
      <c r="C1" s="1106"/>
      <c r="D1" s="1106"/>
      <c r="E1" s="1106"/>
      <c r="F1" s="1106"/>
      <c r="G1" s="1106"/>
      <c r="H1" s="1106"/>
      <c r="I1" s="1106"/>
      <c r="J1" s="1107"/>
    </row>
    <row r="2" spans="1:10">
      <c r="A2" s="1130" t="s">
        <v>280</v>
      </c>
      <c r="B2" s="1131"/>
      <c r="C2" s="1131"/>
      <c r="D2" s="1131"/>
      <c r="E2" s="1131"/>
      <c r="F2" s="1131"/>
      <c r="G2" s="1131"/>
      <c r="H2" s="1131"/>
      <c r="I2" s="1131"/>
      <c r="J2" s="1132"/>
    </row>
    <row r="3" spans="1:10">
      <c r="A3" s="842" t="s">
        <v>281</v>
      </c>
      <c r="B3" s="134" t="s">
        <v>259</v>
      </c>
      <c r="C3" s="134" t="s">
        <v>260</v>
      </c>
      <c r="D3" s="134" t="s">
        <v>261</v>
      </c>
      <c r="E3" s="134" t="s">
        <v>262</v>
      </c>
      <c r="F3" s="134" t="s">
        <v>263</v>
      </c>
      <c r="G3" s="134" t="s">
        <v>264</v>
      </c>
      <c r="H3" s="134" t="s">
        <v>265</v>
      </c>
      <c r="I3" s="134" t="s">
        <v>266</v>
      </c>
      <c r="J3" s="508" t="s">
        <v>267</v>
      </c>
    </row>
    <row r="4" spans="1:10">
      <c r="A4" s="1127"/>
      <c r="B4" s="1128"/>
      <c r="C4" s="1128"/>
      <c r="D4" s="1128"/>
      <c r="E4" s="1128"/>
      <c r="F4" s="1128"/>
      <c r="G4" s="1128"/>
      <c r="H4" s="1128"/>
      <c r="I4" s="1128"/>
      <c r="J4" s="1129"/>
    </row>
    <row r="5" spans="1:10">
      <c r="A5" s="843" t="s">
        <v>282</v>
      </c>
      <c r="B5" s="840">
        <f>' Profitabilty_PVC Phenol'!B17</f>
        <v>829.97327251308184</v>
      </c>
      <c r="C5" s="840">
        <f>' Profitabilty_PVC Phenol'!C17</f>
        <v>1367.9521070345515</v>
      </c>
      <c r="D5" s="840">
        <f>' Profitabilty_PVC Phenol'!D17</f>
        <v>1694.6585670673999</v>
      </c>
      <c r="E5" s="840">
        <f>' Profitabilty_PVC Phenol'!E17</f>
        <v>1827.0378342920844</v>
      </c>
      <c r="F5" s="840">
        <f>' Profitabilty_PVC Phenol'!F17</f>
        <v>1968.8079375727193</v>
      </c>
      <c r="G5" s="840">
        <f>' Profitabilty_PVC Phenol'!G17</f>
        <v>2117.806854108996</v>
      </c>
      <c r="H5" s="840">
        <f>' Profitabilty_PVC Phenol'!H17</f>
        <v>2275.5459605273427</v>
      </c>
      <c r="I5" s="840">
        <f>' Profitabilty_PVC Phenol'!I17</f>
        <v>2441.9580074279465</v>
      </c>
      <c r="J5" s="844">
        <f>' Profitabilty_PVC Phenol'!J17</f>
        <v>2616.5076372967974</v>
      </c>
    </row>
    <row r="6" spans="1:10">
      <c r="A6" s="843" t="s">
        <v>283</v>
      </c>
      <c r="B6" s="840">
        <f>'Interest Calculation'!B36</f>
        <v>652.05935758560008</v>
      </c>
      <c r="C6" s="840">
        <f>'Interest Calculation'!C36</f>
        <v>630.32404566608011</v>
      </c>
      <c r="D6" s="840">
        <f>'Interest Calculation'!D36</f>
        <v>543.38279798799999</v>
      </c>
      <c r="E6" s="840">
        <f>'Interest Calculation'!E36</f>
        <v>456.44155030991988</v>
      </c>
      <c r="F6" s="840">
        <f>'Interest Calculation'!F36</f>
        <v>369.50030263183987</v>
      </c>
      <c r="G6" s="840">
        <f>'Interest Calculation'!G36</f>
        <v>164.14718343663992</v>
      </c>
      <c r="H6" s="840">
        <f>'Interest Calculation'!H36</f>
        <v>120.67655959759993</v>
      </c>
      <c r="I6" s="840">
        <f>'Interest Calculation'!I36</f>
        <v>77.205935758559946</v>
      </c>
      <c r="J6" s="844">
        <f>'Interest Calculation'!J36</f>
        <v>33.735311919519944</v>
      </c>
    </row>
    <row r="7" spans="1:10">
      <c r="A7" s="1127"/>
      <c r="B7" s="1128"/>
      <c r="C7" s="1128"/>
      <c r="D7" s="1128"/>
      <c r="E7" s="1128"/>
      <c r="F7" s="1128"/>
      <c r="G7" s="1128"/>
      <c r="H7" s="1128"/>
      <c r="I7" s="1128"/>
      <c r="J7" s="1129"/>
    </row>
    <row r="8" spans="1:10">
      <c r="A8" s="505" t="s">
        <v>366</v>
      </c>
      <c r="B8" s="841">
        <f t="shared" ref="B8:J8" si="0">SUM(B5:B6)</f>
        <v>1482.0326300986819</v>
      </c>
      <c r="C8" s="841">
        <f t="shared" si="0"/>
        <v>1998.2761527006317</v>
      </c>
      <c r="D8" s="841">
        <f t="shared" si="0"/>
        <v>2238.0413650554001</v>
      </c>
      <c r="E8" s="841">
        <f t="shared" si="0"/>
        <v>2283.4793846020043</v>
      </c>
      <c r="F8" s="841">
        <f t="shared" si="0"/>
        <v>2338.3082402045593</v>
      </c>
      <c r="G8" s="841">
        <f t="shared" si="0"/>
        <v>2281.9540375456359</v>
      </c>
      <c r="H8" s="841">
        <f t="shared" si="0"/>
        <v>2396.2225201249425</v>
      </c>
      <c r="I8" s="841">
        <f t="shared" si="0"/>
        <v>2519.1639431865065</v>
      </c>
      <c r="J8" s="845">
        <f t="shared" si="0"/>
        <v>2650.2429492163174</v>
      </c>
    </row>
    <row r="9" spans="1:10">
      <c r="A9" s="1127"/>
      <c r="B9" s="1128"/>
      <c r="C9" s="1128"/>
      <c r="D9" s="1128"/>
      <c r="E9" s="1128"/>
      <c r="F9" s="1128"/>
      <c r="G9" s="1128"/>
      <c r="H9" s="1128"/>
      <c r="I9" s="1128"/>
      <c r="J9" s="1129"/>
    </row>
    <row r="10" spans="1:10">
      <c r="A10" s="843" t="s">
        <v>367</v>
      </c>
      <c r="B10" s="840">
        <f t="shared" ref="B10:J10" si="1">+B6</f>
        <v>652.05935758560008</v>
      </c>
      <c r="C10" s="840">
        <f t="shared" si="1"/>
        <v>630.32404566608011</v>
      </c>
      <c r="D10" s="840">
        <f t="shared" si="1"/>
        <v>543.38279798799999</v>
      </c>
      <c r="E10" s="840">
        <f t="shared" si="1"/>
        <v>456.44155030991988</v>
      </c>
      <c r="F10" s="840">
        <f t="shared" si="1"/>
        <v>369.50030263183987</v>
      </c>
      <c r="G10" s="840">
        <f t="shared" si="1"/>
        <v>164.14718343663992</v>
      </c>
      <c r="H10" s="840">
        <f t="shared" si="1"/>
        <v>120.67655959759993</v>
      </c>
      <c r="I10" s="840">
        <f t="shared" si="1"/>
        <v>77.205935758559946</v>
      </c>
      <c r="J10" s="844">
        <f t="shared" si="1"/>
        <v>33.735311919519944</v>
      </c>
    </row>
    <row r="11" spans="1:10">
      <c r="A11" s="843" t="s">
        <v>368</v>
      </c>
      <c r="B11" s="840">
        <f>'Interest Calculation'!B33</f>
        <v>0</v>
      </c>
      <c r="C11" s="840">
        <f>'Interest Calculation'!C33</f>
        <v>869.41247678080003</v>
      </c>
      <c r="D11" s="840">
        <f>'Interest Calculation'!D33</f>
        <v>869.41247678080003</v>
      </c>
      <c r="E11" s="840">
        <f>'Interest Calculation'!E33</f>
        <v>869.41247678080003</v>
      </c>
      <c r="F11" s="840">
        <f>'Interest Calculation'!F33</f>
        <v>869.41247678080003</v>
      </c>
      <c r="G11" s="840">
        <f>'Interest Calculation'!G33</f>
        <v>869.41247678080003</v>
      </c>
      <c r="H11" s="840">
        <f>'Interest Calculation'!H33</f>
        <v>869.41247678080003</v>
      </c>
      <c r="I11" s="840">
        <f>'Interest Calculation'!I33</f>
        <v>869.41247678080003</v>
      </c>
      <c r="J11" s="844">
        <f>'Interest Calculation'!J33</f>
        <v>869.41247678080003</v>
      </c>
    </row>
    <row r="12" spans="1:10">
      <c r="A12" s="1127"/>
      <c r="B12" s="1128"/>
      <c r="C12" s="1128"/>
      <c r="D12" s="1128"/>
      <c r="E12" s="1128"/>
      <c r="F12" s="1128"/>
      <c r="G12" s="1128"/>
      <c r="H12" s="1128"/>
      <c r="I12" s="1128"/>
      <c r="J12" s="1129"/>
    </row>
    <row r="13" spans="1:10">
      <c r="A13" s="505" t="s">
        <v>369</v>
      </c>
      <c r="B13" s="841">
        <f t="shared" ref="B13:J13" si="2">SUM(B10:B11)</f>
        <v>652.05935758560008</v>
      </c>
      <c r="C13" s="841">
        <f t="shared" si="2"/>
        <v>1499.7365224468801</v>
      </c>
      <c r="D13" s="841">
        <f t="shared" si="2"/>
        <v>1412.7952747688</v>
      </c>
      <c r="E13" s="841">
        <f t="shared" si="2"/>
        <v>1325.8540270907199</v>
      </c>
      <c r="F13" s="841">
        <f t="shared" si="2"/>
        <v>1238.9127794126398</v>
      </c>
      <c r="G13" s="841">
        <f t="shared" si="2"/>
        <v>1033.5596602174401</v>
      </c>
      <c r="H13" s="841">
        <f t="shared" si="2"/>
        <v>990.08903637840001</v>
      </c>
      <c r="I13" s="841">
        <f t="shared" si="2"/>
        <v>946.61841253935995</v>
      </c>
      <c r="J13" s="845">
        <f t="shared" si="2"/>
        <v>903.14778870032001</v>
      </c>
    </row>
    <row r="14" spans="1:10">
      <c r="A14" s="1127"/>
      <c r="B14" s="1128"/>
      <c r="C14" s="1128"/>
      <c r="D14" s="1128"/>
      <c r="E14" s="1128"/>
      <c r="F14" s="1128"/>
      <c r="G14" s="1128"/>
      <c r="H14" s="1128"/>
      <c r="I14" s="1128"/>
      <c r="J14" s="1129"/>
    </row>
    <row r="15" spans="1:10">
      <c r="A15" s="842" t="s">
        <v>370</v>
      </c>
      <c r="B15" s="841">
        <f t="shared" ref="B15:J15" si="3">+B8/B13</f>
        <v>2.2728492626595362</v>
      </c>
      <c r="C15" s="841">
        <f t="shared" si="3"/>
        <v>1.3324181433151765</v>
      </c>
      <c r="D15" s="841">
        <f t="shared" si="3"/>
        <v>1.584122912232736</v>
      </c>
      <c r="E15" s="841">
        <f t="shared" si="3"/>
        <v>1.7222705802784126</v>
      </c>
      <c r="F15" s="841">
        <f t="shared" si="3"/>
        <v>1.8873872955876163</v>
      </c>
      <c r="G15" s="841">
        <f t="shared" si="3"/>
        <v>2.2078590384086381</v>
      </c>
      <c r="H15" s="841">
        <f t="shared" si="3"/>
        <v>2.4202091247166737</v>
      </c>
      <c r="I15" s="841">
        <f t="shared" si="3"/>
        <v>2.6612243220884539</v>
      </c>
      <c r="J15" s="845">
        <f t="shared" si="3"/>
        <v>2.9344510193953579</v>
      </c>
    </row>
    <row r="16" spans="1:10">
      <c r="A16" s="1127"/>
      <c r="B16" s="1128"/>
      <c r="C16" s="1128"/>
      <c r="D16" s="1128"/>
      <c r="E16" s="1128"/>
      <c r="F16" s="1128"/>
      <c r="G16" s="1128"/>
      <c r="H16" s="1128"/>
      <c r="I16" s="1128"/>
      <c r="J16" s="1129"/>
    </row>
    <row r="17" spans="1:10">
      <c r="A17" s="846" t="s">
        <v>284</v>
      </c>
      <c r="B17" s="847">
        <f>SUM(B8:I8)/SUM(B13:I13)</f>
        <v>1.9272748204196799</v>
      </c>
      <c r="C17" s="848"/>
      <c r="D17" s="848"/>
      <c r="E17" s="848"/>
      <c r="F17" s="848"/>
      <c r="G17" s="848"/>
      <c r="H17" s="848"/>
      <c r="I17" s="848"/>
      <c r="J17" s="849"/>
    </row>
  </sheetData>
  <mergeCells count="8">
    <mergeCell ref="A14:J14"/>
    <mergeCell ref="A16:J16"/>
    <mergeCell ref="A1:J1"/>
    <mergeCell ref="A2:J2"/>
    <mergeCell ref="A4:J4"/>
    <mergeCell ref="A7:J7"/>
    <mergeCell ref="A9:J9"/>
    <mergeCell ref="A12:J12"/>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DD7E-26BC-4A98-940F-2B53341C51B1}">
  <sheetPr codeName="Sheet39">
    <pageSetUpPr autoPageBreaks="0"/>
  </sheetPr>
  <dimension ref="A1:C14"/>
  <sheetViews>
    <sheetView showGridLines="0" zoomScaleNormal="100" zoomScaleSheetLayoutView="100" workbookViewId="0">
      <selection activeCell="H18" sqref="H18"/>
    </sheetView>
  </sheetViews>
  <sheetFormatPr defaultRowHeight="15"/>
  <cols>
    <col min="1" max="1" width="31.140625" style="905" bestFit="1" customWidth="1"/>
    <col min="2" max="2" width="12.42578125" style="905" customWidth="1"/>
    <col min="3" max="3" width="19.7109375" style="905" customWidth="1"/>
    <col min="4" max="16384" width="9.140625" style="905"/>
  </cols>
  <sheetData>
    <row r="1" spans="1:3">
      <c r="A1" s="1105" t="s">
        <v>472</v>
      </c>
      <c r="B1" s="1106"/>
      <c r="C1" s="1107"/>
    </row>
    <row r="2" spans="1:3">
      <c r="A2" s="842" t="s">
        <v>285</v>
      </c>
      <c r="B2" s="134" t="s">
        <v>286</v>
      </c>
      <c r="C2" s="508" t="s">
        <v>287</v>
      </c>
    </row>
    <row r="3" spans="1:3">
      <c r="A3" s="907" t="s">
        <v>288</v>
      </c>
      <c r="B3" s="910">
        <v>0.25</v>
      </c>
      <c r="C3" s="999">
        <f>C$5*B3</f>
        <v>1513.3625459519999</v>
      </c>
    </row>
    <row r="4" spans="1:3">
      <c r="A4" s="843" t="s">
        <v>289</v>
      </c>
      <c r="B4" s="910">
        <v>0.75</v>
      </c>
      <c r="C4" s="999">
        <f>C$5*B4</f>
        <v>4540.0876378559997</v>
      </c>
    </row>
    <row r="5" spans="1:3">
      <c r="A5" s="906" t="s">
        <v>150</v>
      </c>
      <c r="B5" s="909">
        <f>SUM(B3:B4)</f>
        <v>1</v>
      </c>
      <c r="C5" s="1000">
        <f>Capex!H21</f>
        <v>6053.4501838079996</v>
      </c>
    </row>
    <row r="6" spans="1:3">
      <c r="A6" s="1105" t="s">
        <v>473</v>
      </c>
      <c r="B6" s="1106"/>
      <c r="C6" s="1107"/>
    </row>
    <row r="7" spans="1:3">
      <c r="A7" s="906" t="s">
        <v>285</v>
      </c>
      <c r="B7" s="902" t="s">
        <v>286</v>
      </c>
      <c r="C7" s="903" t="s">
        <v>287</v>
      </c>
    </row>
    <row r="8" spans="1:3">
      <c r="A8" s="843" t="s">
        <v>288</v>
      </c>
      <c r="B8" s="910">
        <v>0.25</v>
      </c>
      <c r="C8" s="999">
        <f>C$10*B8</f>
        <v>1039.8624419519999</v>
      </c>
    </row>
    <row r="9" spans="1:3">
      <c r="A9" s="907" t="s">
        <v>289</v>
      </c>
      <c r="B9" s="910">
        <v>0.75</v>
      </c>
      <c r="C9" s="999">
        <f>C$10*B9</f>
        <v>3119.5873258559996</v>
      </c>
    </row>
    <row r="10" spans="1:3">
      <c r="A10" s="906" t="s">
        <v>150</v>
      </c>
      <c r="B10" s="909">
        <f>SUM(B8:B9)</f>
        <v>1</v>
      </c>
      <c r="C10" s="1000">
        <f>Capex!D21</f>
        <v>4159.4497678079997</v>
      </c>
    </row>
    <row r="11" spans="1:3">
      <c r="A11" s="1105" t="s">
        <v>546</v>
      </c>
      <c r="B11" s="1106"/>
      <c r="C11" s="1107"/>
    </row>
    <row r="12" spans="1:3">
      <c r="A12" s="907" t="s">
        <v>288</v>
      </c>
      <c r="B12" s="910">
        <v>0.25</v>
      </c>
      <c r="C12" s="999">
        <f>C$14*B12</f>
        <v>2173.531191952</v>
      </c>
    </row>
    <row r="13" spans="1:3">
      <c r="A13" s="843" t="s">
        <v>289</v>
      </c>
      <c r="B13" s="910">
        <v>0.75</v>
      </c>
      <c r="C13" s="999">
        <f>C$14*B13</f>
        <v>6520.5935758559999</v>
      </c>
    </row>
    <row r="14" spans="1:3">
      <c r="A14" s="908" t="s">
        <v>150</v>
      </c>
      <c r="B14" s="911">
        <f>SUM(B12:B13)</f>
        <v>1</v>
      </c>
      <c r="C14" s="1001">
        <f>-('Cashflow - PVC Phenol Propane'!G12)</f>
        <v>8694.1247678079999</v>
      </c>
    </row>
  </sheetData>
  <mergeCells count="3">
    <mergeCell ref="A1:C1"/>
    <mergeCell ref="A6:C6"/>
    <mergeCell ref="A11:C11"/>
  </mergeCells>
  <printOptions horizontalCentered="1" gridLines="1"/>
  <pageMargins left="0.98425196850393704" right="0.74803149606299213" top="0.98425196850393704" bottom="0.98425196850393704" header="0.51181102362204722" footer="0.51181102362204722"/>
  <pageSetup paperSize="9" orientation="portrait" r:id="rId1"/>
  <headerFooter scaleWithDoc="0"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1407-B54D-4B4F-AC5E-08E1FE56517D}">
  <sheetPr codeName="Sheet40"/>
  <dimension ref="A1:Q51"/>
  <sheetViews>
    <sheetView showGridLines="0" topLeftCell="A13" zoomScaleNormal="100" zoomScaleSheetLayoutView="100" workbookViewId="0">
      <selection activeCell="A26" sqref="A26:J26"/>
    </sheetView>
  </sheetViews>
  <sheetFormatPr defaultRowHeight="12.75"/>
  <cols>
    <col min="1" max="1" width="33.7109375" style="119" customWidth="1"/>
    <col min="2" max="9" width="12.7109375" style="119" customWidth="1"/>
    <col min="10" max="10" width="9.42578125" style="119" bestFit="1" customWidth="1"/>
    <col min="11" max="253" width="9.140625" style="119"/>
    <col min="254" max="254" width="33.7109375" style="119" customWidth="1"/>
    <col min="255" max="262" width="12.7109375" style="119" customWidth="1"/>
    <col min="263" max="263" width="8.42578125" style="119" bestFit="1" customWidth="1"/>
    <col min="264" max="264" width="10.5703125" style="119" bestFit="1" customWidth="1"/>
    <col min="265" max="265" width="9.42578125" style="119" bestFit="1" customWidth="1"/>
    <col min="266" max="509" width="9.140625" style="119"/>
    <col min="510" max="510" width="33.7109375" style="119" customWidth="1"/>
    <col min="511" max="518" width="12.7109375" style="119" customWidth="1"/>
    <col min="519" max="519" width="8.42578125" style="119" bestFit="1" customWidth="1"/>
    <col min="520" max="520" width="10.5703125" style="119" bestFit="1" customWidth="1"/>
    <col min="521" max="521" width="9.42578125" style="119" bestFit="1" customWidth="1"/>
    <col min="522" max="765" width="9.140625" style="119"/>
    <col min="766" max="766" width="33.7109375" style="119" customWidth="1"/>
    <col min="767" max="774" width="12.7109375" style="119" customWidth="1"/>
    <col min="775" max="775" width="8.42578125" style="119" bestFit="1" customWidth="1"/>
    <col min="776" max="776" width="10.5703125" style="119" bestFit="1" customWidth="1"/>
    <col min="777" max="777" width="9.42578125" style="119" bestFit="1" customWidth="1"/>
    <col min="778" max="1021" width="9.140625" style="119"/>
    <col min="1022" max="1022" width="33.7109375" style="119" customWidth="1"/>
    <col min="1023" max="1030" width="12.7109375" style="119" customWidth="1"/>
    <col min="1031" max="1031" width="8.42578125" style="119" bestFit="1" customWidth="1"/>
    <col min="1032" max="1032" width="10.5703125" style="119" bestFit="1" customWidth="1"/>
    <col min="1033" max="1033" width="9.42578125" style="119" bestFit="1" customWidth="1"/>
    <col min="1034" max="1277" width="9.140625" style="119"/>
    <col min="1278" max="1278" width="33.7109375" style="119" customWidth="1"/>
    <col min="1279" max="1286" width="12.7109375" style="119" customWidth="1"/>
    <col min="1287" max="1287" width="8.42578125" style="119" bestFit="1" customWidth="1"/>
    <col min="1288" max="1288" width="10.5703125" style="119" bestFit="1" customWidth="1"/>
    <col min="1289" max="1289" width="9.42578125" style="119" bestFit="1" customWidth="1"/>
    <col min="1290" max="1533" width="9.140625" style="119"/>
    <col min="1534" max="1534" width="33.7109375" style="119" customWidth="1"/>
    <col min="1535" max="1542" width="12.7109375" style="119" customWidth="1"/>
    <col min="1543" max="1543" width="8.42578125" style="119" bestFit="1" customWidth="1"/>
    <col min="1544" max="1544" width="10.5703125" style="119" bestFit="1" customWidth="1"/>
    <col min="1545" max="1545" width="9.42578125" style="119" bestFit="1" customWidth="1"/>
    <col min="1546" max="1789" width="9.140625" style="119"/>
    <col min="1790" max="1790" width="33.7109375" style="119" customWidth="1"/>
    <col min="1791" max="1798" width="12.7109375" style="119" customWidth="1"/>
    <col min="1799" max="1799" width="8.42578125" style="119" bestFit="1" customWidth="1"/>
    <col min="1800" max="1800" width="10.5703125" style="119" bestFit="1" customWidth="1"/>
    <col min="1801" max="1801" width="9.42578125" style="119" bestFit="1" customWidth="1"/>
    <col min="1802" max="2045" width="9.140625" style="119"/>
    <col min="2046" max="2046" width="33.7109375" style="119" customWidth="1"/>
    <col min="2047" max="2054" width="12.7109375" style="119" customWidth="1"/>
    <col min="2055" max="2055" width="8.42578125" style="119" bestFit="1" customWidth="1"/>
    <col min="2056" max="2056" width="10.5703125" style="119" bestFit="1" customWidth="1"/>
    <col min="2057" max="2057" width="9.42578125" style="119" bestFit="1" customWidth="1"/>
    <col min="2058" max="2301" width="9.140625" style="119"/>
    <col min="2302" max="2302" width="33.7109375" style="119" customWidth="1"/>
    <col min="2303" max="2310" width="12.7109375" style="119" customWidth="1"/>
    <col min="2311" max="2311" width="8.42578125" style="119" bestFit="1" customWidth="1"/>
    <col min="2312" max="2312" width="10.5703125" style="119" bestFit="1" customWidth="1"/>
    <col min="2313" max="2313" width="9.42578125" style="119" bestFit="1" customWidth="1"/>
    <col min="2314" max="2557" width="9.140625" style="119"/>
    <col min="2558" max="2558" width="33.7109375" style="119" customWidth="1"/>
    <col min="2559" max="2566" width="12.7109375" style="119" customWidth="1"/>
    <col min="2567" max="2567" width="8.42578125" style="119" bestFit="1" customWidth="1"/>
    <col min="2568" max="2568" width="10.5703125" style="119" bestFit="1" customWidth="1"/>
    <col min="2569" max="2569" width="9.42578125" style="119" bestFit="1" customWidth="1"/>
    <col min="2570" max="2813" width="9.140625" style="119"/>
    <col min="2814" max="2814" width="33.7109375" style="119" customWidth="1"/>
    <col min="2815" max="2822" width="12.7109375" style="119" customWidth="1"/>
    <col min="2823" max="2823" width="8.42578125" style="119" bestFit="1" customWidth="1"/>
    <col min="2824" max="2824" width="10.5703125" style="119" bestFit="1" customWidth="1"/>
    <col min="2825" max="2825" width="9.42578125" style="119" bestFit="1" customWidth="1"/>
    <col min="2826" max="3069" width="9.140625" style="119"/>
    <col min="3070" max="3070" width="33.7109375" style="119" customWidth="1"/>
    <col min="3071" max="3078" width="12.7109375" style="119" customWidth="1"/>
    <col min="3079" max="3079" width="8.42578125" style="119" bestFit="1" customWidth="1"/>
    <col min="3080" max="3080" width="10.5703125" style="119" bestFit="1" customWidth="1"/>
    <col min="3081" max="3081" width="9.42578125" style="119" bestFit="1" customWidth="1"/>
    <col min="3082" max="3325" width="9.140625" style="119"/>
    <col min="3326" max="3326" width="33.7109375" style="119" customWidth="1"/>
    <col min="3327" max="3334" width="12.7109375" style="119" customWidth="1"/>
    <col min="3335" max="3335" width="8.42578125" style="119" bestFit="1" customWidth="1"/>
    <col min="3336" max="3336" width="10.5703125" style="119" bestFit="1" customWidth="1"/>
    <col min="3337" max="3337" width="9.42578125" style="119" bestFit="1" customWidth="1"/>
    <col min="3338" max="3581" width="9.140625" style="119"/>
    <col min="3582" max="3582" width="33.7109375" style="119" customWidth="1"/>
    <col min="3583" max="3590" width="12.7109375" style="119" customWidth="1"/>
    <col min="3591" max="3591" width="8.42578125" style="119" bestFit="1" customWidth="1"/>
    <col min="3592" max="3592" width="10.5703125" style="119" bestFit="1" customWidth="1"/>
    <col min="3593" max="3593" width="9.42578125" style="119" bestFit="1" customWidth="1"/>
    <col min="3594" max="3837" width="9.140625" style="119"/>
    <col min="3838" max="3838" width="33.7109375" style="119" customWidth="1"/>
    <col min="3839" max="3846" width="12.7109375" style="119" customWidth="1"/>
    <col min="3847" max="3847" width="8.42578125" style="119" bestFit="1" customWidth="1"/>
    <col min="3848" max="3848" width="10.5703125" style="119" bestFit="1" customWidth="1"/>
    <col min="3849" max="3849" width="9.42578125" style="119" bestFit="1" customWidth="1"/>
    <col min="3850" max="4093" width="9.140625" style="119"/>
    <col min="4094" max="4094" width="33.7109375" style="119" customWidth="1"/>
    <col min="4095" max="4102" width="12.7109375" style="119" customWidth="1"/>
    <col min="4103" max="4103" width="8.42578125" style="119" bestFit="1" customWidth="1"/>
    <col min="4104" max="4104" width="10.5703125" style="119" bestFit="1" customWidth="1"/>
    <col min="4105" max="4105" width="9.42578125" style="119" bestFit="1" customWidth="1"/>
    <col min="4106" max="4349" width="9.140625" style="119"/>
    <col min="4350" max="4350" width="33.7109375" style="119" customWidth="1"/>
    <col min="4351" max="4358" width="12.7109375" style="119" customWidth="1"/>
    <col min="4359" max="4359" width="8.42578125" style="119" bestFit="1" customWidth="1"/>
    <col min="4360" max="4360" width="10.5703125" style="119" bestFit="1" customWidth="1"/>
    <col min="4361" max="4361" width="9.42578125" style="119" bestFit="1" customWidth="1"/>
    <col min="4362" max="4605" width="9.140625" style="119"/>
    <col min="4606" max="4606" width="33.7109375" style="119" customWidth="1"/>
    <col min="4607" max="4614" width="12.7109375" style="119" customWidth="1"/>
    <col min="4615" max="4615" width="8.42578125" style="119" bestFit="1" customWidth="1"/>
    <col min="4616" max="4616" width="10.5703125" style="119" bestFit="1" customWidth="1"/>
    <col min="4617" max="4617" width="9.42578125" style="119" bestFit="1" customWidth="1"/>
    <col min="4618" max="4861" width="9.140625" style="119"/>
    <col min="4862" max="4862" width="33.7109375" style="119" customWidth="1"/>
    <col min="4863" max="4870" width="12.7109375" style="119" customWidth="1"/>
    <col min="4871" max="4871" width="8.42578125" style="119" bestFit="1" customWidth="1"/>
    <col min="4872" max="4872" width="10.5703125" style="119" bestFit="1" customWidth="1"/>
    <col min="4873" max="4873" width="9.42578125" style="119" bestFit="1" customWidth="1"/>
    <col min="4874" max="5117" width="9.140625" style="119"/>
    <col min="5118" max="5118" width="33.7109375" style="119" customWidth="1"/>
    <col min="5119" max="5126" width="12.7109375" style="119" customWidth="1"/>
    <col min="5127" max="5127" width="8.42578125" style="119" bestFit="1" customWidth="1"/>
    <col min="5128" max="5128" width="10.5703125" style="119" bestFit="1" customWidth="1"/>
    <col min="5129" max="5129" width="9.42578125" style="119" bestFit="1" customWidth="1"/>
    <col min="5130" max="5373" width="9.140625" style="119"/>
    <col min="5374" max="5374" width="33.7109375" style="119" customWidth="1"/>
    <col min="5375" max="5382" width="12.7109375" style="119" customWidth="1"/>
    <col min="5383" max="5383" width="8.42578125" style="119" bestFit="1" customWidth="1"/>
    <col min="5384" max="5384" width="10.5703125" style="119" bestFit="1" customWidth="1"/>
    <col min="5385" max="5385" width="9.42578125" style="119" bestFit="1" customWidth="1"/>
    <col min="5386" max="5629" width="9.140625" style="119"/>
    <col min="5630" max="5630" width="33.7109375" style="119" customWidth="1"/>
    <col min="5631" max="5638" width="12.7109375" style="119" customWidth="1"/>
    <col min="5639" max="5639" width="8.42578125" style="119" bestFit="1" customWidth="1"/>
    <col min="5640" max="5640" width="10.5703125" style="119" bestFit="1" customWidth="1"/>
    <col min="5641" max="5641" width="9.42578125" style="119" bestFit="1" customWidth="1"/>
    <col min="5642" max="5885" width="9.140625" style="119"/>
    <col min="5886" max="5886" width="33.7109375" style="119" customWidth="1"/>
    <col min="5887" max="5894" width="12.7109375" style="119" customWidth="1"/>
    <col min="5895" max="5895" width="8.42578125" style="119" bestFit="1" customWidth="1"/>
    <col min="5896" max="5896" width="10.5703125" style="119" bestFit="1" customWidth="1"/>
    <col min="5897" max="5897" width="9.42578125" style="119" bestFit="1" customWidth="1"/>
    <col min="5898" max="6141" width="9.140625" style="119"/>
    <col min="6142" max="6142" width="33.7109375" style="119" customWidth="1"/>
    <col min="6143" max="6150" width="12.7109375" style="119" customWidth="1"/>
    <col min="6151" max="6151" width="8.42578125" style="119" bestFit="1" customWidth="1"/>
    <col min="6152" max="6152" width="10.5703125" style="119" bestFit="1" customWidth="1"/>
    <col min="6153" max="6153" width="9.42578125" style="119" bestFit="1" customWidth="1"/>
    <col min="6154" max="6397" width="9.140625" style="119"/>
    <col min="6398" max="6398" width="33.7109375" style="119" customWidth="1"/>
    <col min="6399" max="6406" width="12.7109375" style="119" customWidth="1"/>
    <col min="6407" max="6407" width="8.42578125" style="119" bestFit="1" customWidth="1"/>
    <col min="6408" max="6408" width="10.5703125" style="119" bestFit="1" customWidth="1"/>
    <col min="6409" max="6409" width="9.42578125" style="119" bestFit="1" customWidth="1"/>
    <col min="6410" max="6653" width="9.140625" style="119"/>
    <col min="6654" max="6654" width="33.7109375" style="119" customWidth="1"/>
    <col min="6655" max="6662" width="12.7109375" style="119" customWidth="1"/>
    <col min="6663" max="6663" width="8.42578125" style="119" bestFit="1" customWidth="1"/>
    <col min="6664" max="6664" width="10.5703125" style="119" bestFit="1" customWidth="1"/>
    <col min="6665" max="6665" width="9.42578125" style="119" bestFit="1" customWidth="1"/>
    <col min="6666" max="6909" width="9.140625" style="119"/>
    <col min="6910" max="6910" width="33.7109375" style="119" customWidth="1"/>
    <col min="6911" max="6918" width="12.7109375" style="119" customWidth="1"/>
    <col min="6919" max="6919" width="8.42578125" style="119" bestFit="1" customWidth="1"/>
    <col min="6920" max="6920" width="10.5703125" style="119" bestFit="1" customWidth="1"/>
    <col min="6921" max="6921" width="9.42578125" style="119" bestFit="1" customWidth="1"/>
    <col min="6922" max="7165" width="9.140625" style="119"/>
    <col min="7166" max="7166" width="33.7109375" style="119" customWidth="1"/>
    <col min="7167" max="7174" width="12.7109375" style="119" customWidth="1"/>
    <col min="7175" max="7175" width="8.42578125" style="119" bestFit="1" customWidth="1"/>
    <col min="7176" max="7176" width="10.5703125" style="119" bestFit="1" customWidth="1"/>
    <col min="7177" max="7177" width="9.42578125" style="119" bestFit="1" customWidth="1"/>
    <col min="7178" max="7421" width="9.140625" style="119"/>
    <col min="7422" max="7422" width="33.7109375" style="119" customWidth="1"/>
    <col min="7423" max="7430" width="12.7109375" style="119" customWidth="1"/>
    <col min="7431" max="7431" width="8.42578125" style="119" bestFit="1" customWidth="1"/>
    <col min="7432" max="7432" width="10.5703125" style="119" bestFit="1" customWidth="1"/>
    <col min="7433" max="7433" width="9.42578125" style="119" bestFit="1" customWidth="1"/>
    <col min="7434" max="7677" width="9.140625" style="119"/>
    <col min="7678" max="7678" width="33.7109375" style="119" customWidth="1"/>
    <col min="7679" max="7686" width="12.7109375" style="119" customWidth="1"/>
    <col min="7687" max="7687" width="8.42578125" style="119" bestFit="1" customWidth="1"/>
    <col min="7688" max="7688" width="10.5703125" style="119" bestFit="1" customWidth="1"/>
    <col min="7689" max="7689" width="9.42578125" style="119" bestFit="1" customWidth="1"/>
    <col min="7690" max="7933" width="9.140625" style="119"/>
    <col min="7934" max="7934" width="33.7109375" style="119" customWidth="1"/>
    <col min="7935" max="7942" width="12.7109375" style="119" customWidth="1"/>
    <col min="7943" max="7943" width="8.42578125" style="119" bestFit="1" customWidth="1"/>
    <col min="7944" max="7944" width="10.5703125" style="119" bestFit="1" customWidth="1"/>
    <col min="7945" max="7945" width="9.42578125" style="119" bestFit="1" customWidth="1"/>
    <col min="7946" max="8189" width="9.140625" style="119"/>
    <col min="8190" max="8190" width="33.7109375" style="119" customWidth="1"/>
    <col min="8191" max="8198" width="12.7109375" style="119" customWidth="1"/>
    <col min="8199" max="8199" width="8.42578125" style="119" bestFit="1" customWidth="1"/>
    <col min="8200" max="8200" width="10.5703125" style="119" bestFit="1" customWidth="1"/>
    <col min="8201" max="8201" width="9.42578125" style="119" bestFit="1" customWidth="1"/>
    <col min="8202" max="8445" width="9.140625" style="119"/>
    <col min="8446" max="8446" width="33.7109375" style="119" customWidth="1"/>
    <col min="8447" max="8454" width="12.7109375" style="119" customWidth="1"/>
    <col min="8455" max="8455" width="8.42578125" style="119" bestFit="1" customWidth="1"/>
    <col min="8456" max="8456" width="10.5703125" style="119" bestFit="1" customWidth="1"/>
    <col min="8457" max="8457" width="9.42578125" style="119" bestFit="1" customWidth="1"/>
    <col min="8458" max="8701" width="9.140625" style="119"/>
    <col min="8702" max="8702" width="33.7109375" style="119" customWidth="1"/>
    <col min="8703" max="8710" width="12.7109375" style="119" customWidth="1"/>
    <col min="8711" max="8711" width="8.42578125" style="119" bestFit="1" customWidth="1"/>
    <col min="8712" max="8712" width="10.5703125" style="119" bestFit="1" customWidth="1"/>
    <col min="8713" max="8713" width="9.42578125" style="119" bestFit="1" customWidth="1"/>
    <col min="8714" max="8957" width="9.140625" style="119"/>
    <col min="8958" max="8958" width="33.7109375" style="119" customWidth="1"/>
    <col min="8959" max="8966" width="12.7109375" style="119" customWidth="1"/>
    <col min="8967" max="8967" width="8.42578125" style="119" bestFit="1" customWidth="1"/>
    <col min="8968" max="8968" width="10.5703125" style="119" bestFit="1" customWidth="1"/>
    <col min="8969" max="8969" width="9.42578125" style="119" bestFit="1" customWidth="1"/>
    <col min="8970" max="9213" width="9.140625" style="119"/>
    <col min="9214" max="9214" width="33.7109375" style="119" customWidth="1"/>
    <col min="9215" max="9222" width="12.7109375" style="119" customWidth="1"/>
    <col min="9223" max="9223" width="8.42578125" style="119" bestFit="1" customWidth="1"/>
    <col min="9224" max="9224" width="10.5703125" style="119" bestFit="1" customWidth="1"/>
    <col min="9225" max="9225" width="9.42578125" style="119" bestFit="1" customWidth="1"/>
    <col min="9226" max="9469" width="9.140625" style="119"/>
    <col min="9470" max="9470" width="33.7109375" style="119" customWidth="1"/>
    <col min="9471" max="9478" width="12.7109375" style="119" customWidth="1"/>
    <col min="9479" max="9479" width="8.42578125" style="119" bestFit="1" customWidth="1"/>
    <col min="9480" max="9480" width="10.5703125" style="119" bestFit="1" customWidth="1"/>
    <col min="9481" max="9481" width="9.42578125" style="119" bestFit="1" customWidth="1"/>
    <col min="9482" max="9725" width="9.140625" style="119"/>
    <col min="9726" max="9726" width="33.7109375" style="119" customWidth="1"/>
    <col min="9727" max="9734" width="12.7109375" style="119" customWidth="1"/>
    <col min="9735" max="9735" width="8.42578125" style="119" bestFit="1" customWidth="1"/>
    <col min="9736" max="9736" width="10.5703125" style="119" bestFit="1" customWidth="1"/>
    <col min="9737" max="9737" width="9.42578125" style="119" bestFit="1" customWidth="1"/>
    <col min="9738" max="9981" width="9.140625" style="119"/>
    <col min="9982" max="9982" width="33.7109375" style="119" customWidth="1"/>
    <col min="9983" max="9990" width="12.7109375" style="119" customWidth="1"/>
    <col min="9991" max="9991" width="8.42578125" style="119" bestFit="1" customWidth="1"/>
    <col min="9992" max="9992" width="10.5703125" style="119" bestFit="1" customWidth="1"/>
    <col min="9993" max="9993" width="9.42578125" style="119" bestFit="1" customWidth="1"/>
    <col min="9994" max="10237" width="9.140625" style="119"/>
    <col min="10238" max="10238" width="33.7109375" style="119" customWidth="1"/>
    <col min="10239" max="10246" width="12.7109375" style="119" customWidth="1"/>
    <col min="10247" max="10247" width="8.42578125" style="119" bestFit="1" customWidth="1"/>
    <col min="10248" max="10248" width="10.5703125" style="119" bestFit="1" customWidth="1"/>
    <col min="10249" max="10249" width="9.42578125" style="119" bestFit="1" customWidth="1"/>
    <col min="10250" max="10493" width="9.140625" style="119"/>
    <col min="10494" max="10494" width="33.7109375" style="119" customWidth="1"/>
    <col min="10495" max="10502" width="12.7109375" style="119" customWidth="1"/>
    <col min="10503" max="10503" width="8.42578125" style="119" bestFit="1" customWidth="1"/>
    <col min="10504" max="10504" width="10.5703125" style="119" bestFit="1" customWidth="1"/>
    <col min="10505" max="10505" width="9.42578125" style="119" bestFit="1" customWidth="1"/>
    <col min="10506" max="10749" width="9.140625" style="119"/>
    <col min="10750" max="10750" width="33.7109375" style="119" customWidth="1"/>
    <col min="10751" max="10758" width="12.7109375" style="119" customWidth="1"/>
    <col min="10759" max="10759" width="8.42578125" style="119" bestFit="1" customWidth="1"/>
    <col min="10760" max="10760" width="10.5703125" style="119" bestFit="1" customWidth="1"/>
    <col min="10761" max="10761" width="9.42578125" style="119" bestFit="1" customWidth="1"/>
    <col min="10762" max="11005" width="9.140625" style="119"/>
    <col min="11006" max="11006" width="33.7109375" style="119" customWidth="1"/>
    <col min="11007" max="11014" width="12.7109375" style="119" customWidth="1"/>
    <col min="11015" max="11015" width="8.42578125" style="119" bestFit="1" customWidth="1"/>
    <col min="11016" max="11016" width="10.5703125" style="119" bestFit="1" customWidth="1"/>
    <col min="11017" max="11017" width="9.42578125" style="119" bestFit="1" customWidth="1"/>
    <col min="11018" max="11261" width="9.140625" style="119"/>
    <col min="11262" max="11262" width="33.7109375" style="119" customWidth="1"/>
    <col min="11263" max="11270" width="12.7109375" style="119" customWidth="1"/>
    <col min="11271" max="11271" width="8.42578125" style="119" bestFit="1" customWidth="1"/>
    <col min="11272" max="11272" width="10.5703125" style="119" bestFit="1" customWidth="1"/>
    <col min="11273" max="11273" width="9.42578125" style="119" bestFit="1" customWidth="1"/>
    <col min="11274" max="11517" width="9.140625" style="119"/>
    <col min="11518" max="11518" width="33.7109375" style="119" customWidth="1"/>
    <col min="11519" max="11526" width="12.7109375" style="119" customWidth="1"/>
    <col min="11527" max="11527" width="8.42578125" style="119" bestFit="1" customWidth="1"/>
    <col min="11528" max="11528" width="10.5703125" style="119" bestFit="1" customWidth="1"/>
    <col min="11529" max="11529" width="9.42578125" style="119" bestFit="1" customWidth="1"/>
    <col min="11530" max="11773" width="9.140625" style="119"/>
    <col min="11774" max="11774" width="33.7109375" style="119" customWidth="1"/>
    <col min="11775" max="11782" width="12.7109375" style="119" customWidth="1"/>
    <col min="11783" max="11783" width="8.42578125" style="119" bestFit="1" customWidth="1"/>
    <col min="11784" max="11784" width="10.5703125" style="119" bestFit="1" customWidth="1"/>
    <col min="11785" max="11785" width="9.42578125" style="119" bestFit="1" customWidth="1"/>
    <col min="11786" max="12029" width="9.140625" style="119"/>
    <col min="12030" max="12030" width="33.7109375" style="119" customWidth="1"/>
    <col min="12031" max="12038" width="12.7109375" style="119" customWidth="1"/>
    <col min="12039" max="12039" width="8.42578125" style="119" bestFit="1" customWidth="1"/>
    <col min="12040" max="12040" width="10.5703125" style="119" bestFit="1" customWidth="1"/>
    <col min="12041" max="12041" width="9.42578125" style="119" bestFit="1" customWidth="1"/>
    <col min="12042" max="12285" width="9.140625" style="119"/>
    <col min="12286" max="12286" width="33.7109375" style="119" customWidth="1"/>
    <col min="12287" max="12294" width="12.7109375" style="119" customWidth="1"/>
    <col min="12295" max="12295" width="8.42578125" style="119" bestFit="1" customWidth="1"/>
    <col min="12296" max="12296" width="10.5703125" style="119" bestFit="1" customWidth="1"/>
    <col min="12297" max="12297" width="9.42578125" style="119" bestFit="1" customWidth="1"/>
    <col min="12298" max="12541" width="9.140625" style="119"/>
    <col min="12542" max="12542" width="33.7109375" style="119" customWidth="1"/>
    <col min="12543" max="12550" width="12.7109375" style="119" customWidth="1"/>
    <col min="12551" max="12551" width="8.42578125" style="119" bestFit="1" customWidth="1"/>
    <col min="12552" max="12552" width="10.5703125" style="119" bestFit="1" customWidth="1"/>
    <col min="12553" max="12553" width="9.42578125" style="119" bestFit="1" customWidth="1"/>
    <col min="12554" max="12797" width="9.140625" style="119"/>
    <col min="12798" max="12798" width="33.7109375" style="119" customWidth="1"/>
    <col min="12799" max="12806" width="12.7109375" style="119" customWidth="1"/>
    <col min="12807" max="12807" width="8.42578125" style="119" bestFit="1" customWidth="1"/>
    <col min="12808" max="12808" width="10.5703125" style="119" bestFit="1" customWidth="1"/>
    <col min="12809" max="12809" width="9.42578125" style="119" bestFit="1" customWidth="1"/>
    <col min="12810" max="13053" width="9.140625" style="119"/>
    <col min="13054" max="13054" width="33.7109375" style="119" customWidth="1"/>
    <col min="13055" max="13062" width="12.7109375" style="119" customWidth="1"/>
    <col min="13063" max="13063" width="8.42578125" style="119" bestFit="1" customWidth="1"/>
    <col min="13064" max="13064" width="10.5703125" style="119" bestFit="1" customWidth="1"/>
    <col min="13065" max="13065" width="9.42578125" style="119" bestFit="1" customWidth="1"/>
    <col min="13066" max="13309" width="9.140625" style="119"/>
    <col min="13310" max="13310" width="33.7109375" style="119" customWidth="1"/>
    <col min="13311" max="13318" width="12.7109375" style="119" customWidth="1"/>
    <col min="13319" max="13319" width="8.42578125" style="119" bestFit="1" customWidth="1"/>
    <col min="13320" max="13320" width="10.5703125" style="119" bestFit="1" customWidth="1"/>
    <col min="13321" max="13321" width="9.42578125" style="119" bestFit="1" customWidth="1"/>
    <col min="13322" max="13565" width="9.140625" style="119"/>
    <col min="13566" max="13566" width="33.7109375" style="119" customWidth="1"/>
    <col min="13567" max="13574" width="12.7109375" style="119" customWidth="1"/>
    <col min="13575" max="13575" width="8.42578125" style="119" bestFit="1" customWidth="1"/>
    <col min="13576" max="13576" width="10.5703125" style="119" bestFit="1" customWidth="1"/>
    <col min="13577" max="13577" width="9.42578125" style="119" bestFit="1" customWidth="1"/>
    <col min="13578" max="13821" width="9.140625" style="119"/>
    <col min="13822" max="13822" width="33.7109375" style="119" customWidth="1"/>
    <col min="13823" max="13830" width="12.7109375" style="119" customWidth="1"/>
    <col min="13831" max="13831" width="8.42578125" style="119" bestFit="1" customWidth="1"/>
    <col min="13832" max="13832" width="10.5703125" style="119" bestFit="1" customWidth="1"/>
    <col min="13833" max="13833" width="9.42578125" style="119" bestFit="1" customWidth="1"/>
    <col min="13834" max="14077" width="9.140625" style="119"/>
    <col min="14078" max="14078" width="33.7109375" style="119" customWidth="1"/>
    <col min="14079" max="14086" width="12.7109375" style="119" customWidth="1"/>
    <col min="14087" max="14087" width="8.42578125" style="119" bestFit="1" customWidth="1"/>
    <col min="14088" max="14088" width="10.5703125" style="119" bestFit="1" customWidth="1"/>
    <col min="14089" max="14089" width="9.42578125" style="119" bestFit="1" customWidth="1"/>
    <col min="14090" max="14333" width="9.140625" style="119"/>
    <col min="14334" max="14334" width="33.7109375" style="119" customWidth="1"/>
    <col min="14335" max="14342" width="12.7109375" style="119" customWidth="1"/>
    <col min="14343" max="14343" width="8.42578125" style="119" bestFit="1" customWidth="1"/>
    <col min="14344" max="14344" width="10.5703125" style="119" bestFit="1" customWidth="1"/>
    <col min="14345" max="14345" width="9.42578125" style="119" bestFit="1" customWidth="1"/>
    <col min="14346" max="14589" width="9.140625" style="119"/>
    <col min="14590" max="14590" width="33.7109375" style="119" customWidth="1"/>
    <col min="14591" max="14598" width="12.7109375" style="119" customWidth="1"/>
    <col min="14599" max="14599" width="8.42578125" style="119" bestFit="1" customWidth="1"/>
    <col min="14600" max="14600" width="10.5703125" style="119" bestFit="1" customWidth="1"/>
    <col min="14601" max="14601" width="9.42578125" style="119" bestFit="1" customWidth="1"/>
    <col min="14602" max="14845" width="9.140625" style="119"/>
    <col min="14846" max="14846" width="33.7109375" style="119" customWidth="1"/>
    <col min="14847" max="14854" width="12.7109375" style="119" customWidth="1"/>
    <col min="14855" max="14855" width="8.42578125" style="119" bestFit="1" customWidth="1"/>
    <col min="14856" max="14856" width="10.5703125" style="119" bestFit="1" customWidth="1"/>
    <col min="14857" max="14857" width="9.42578125" style="119" bestFit="1" customWidth="1"/>
    <col min="14858" max="15101" width="9.140625" style="119"/>
    <col min="15102" max="15102" width="33.7109375" style="119" customWidth="1"/>
    <col min="15103" max="15110" width="12.7109375" style="119" customWidth="1"/>
    <col min="15111" max="15111" width="8.42578125" style="119" bestFit="1" customWidth="1"/>
    <col min="15112" max="15112" width="10.5703125" style="119" bestFit="1" customWidth="1"/>
    <col min="15113" max="15113" width="9.42578125" style="119" bestFit="1" customWidth="1"/>
    <col min="15114" max="15357" width="9.140625" style="119"/>
    <col min="15358" max="15358" width="33.7109375" style="119" customWidth="1"/>
    <col min="15359" max="15366" width="12.7109375" style="119" customWidth="1"/>
    <col min="15367" max="15367" width="8.42578125" style="119" bestFit="1" customWidth="1"/>
    <col min="15368" max="15368" width="10.5703125" style="119" bestFit="1" customWidth="1"/>
    <col min="15369" max="15369" width="9.42578125" style="119" bestFit="1" customWidth="1"/>
    <col min="15370" max="15613" width="9.140625" style="119"/>
    <col min="15614" max="15614" width="33.7109375" style="119" customWidth="1"/>
    <col min="15615" max="15622" width="12.7109375" style="119" customWidth="1"/>
    <col min="15623" max="15623" width="8.42578125" style="119" bestFit="1" customWidth="1"/>
    <col min="15624" max="15624" width="10.5703125" style="119" bestFit="1" customWidth="1"/>
    <col min="15625" max="15625" width="9.42578125" style="119" bestFit="1" customWidth="1"/>
    <col min="15626" max="15869" width="9.140625" style="119"/>
    <col min="15870" max="15870" width="33.7109375" style="119" customWidth="1"/>
    <col min="15871" max="15878" width="12.7109375" style="119" customWidth="1"/>
    <col min="15879" max="15879" width="8.42578125" style="119" bestFit="1" customWidth="1"/>
    <col min="15880" max="15880" width="10.5703125" style="119" bestFit="1" customWidth="1"/>
    <col min="15881" max="15881" width="9.42578125" style="119" bestFit="1" customWidth="1"/>
    <col min="15882" max="16125" width="9.140625" style="119"/>
    <col min="16126" max="16126" width="33.7109375" style="119" customWidth="1"/>
    <col min="16127" max="16134" width="12.7109375" style="119" customWidth="1"/>
    <col min="16135" max="16135" width="8.42578125" style="119" bestFit="1" customWidth="1"/>
    <col min="16136" max="16136" width="10.5703125" style="119" bestFit="1" customWidth="1"/>
    <col min="16137" max="16137" width="9.42578125" style="119" bestFit="1" customWidth="1"/>
    <col min="16138" max="16384" width="9.140625" style="119"/>
  </cols>
  <sheetData>
    <row r="1" spans="1:17" ht="14.25" customHeight="1">
      <c r="A1" s="1105" t="s">
        <v>475</v>
      </c>
      <c r="B1" s="1106"/>
      <c r="C1" s="1106"/>
      <c r="D1" s="1106"/>
      <c r="E1" s="1106"/>
      <c r="F1" s="1106"/>
      <c r="G1" s="1106"/>
      <c r="H1" s="1106"/>
      <c r="I1" s="1106"/>
      <c r="J1" s="1107"/>
    </row>
    <row r="2" spans="1:17" ht="14.25" customHeight="1">
      <c r="A2" s="912" t="s">
        <v>290</v>
      </c>
      <c r="B2" s="913">
        <v>0.1</v>
      </c>
      <c r="C2" s="914"/>
      <c r="D2" s="914"/>
      <c r="E2" s="914"/>
      <c r="F2" s="914"/>
      <c r="G2" s="914"/>
      <c r="H2" s="914"/>
      <c r="I2" s="914"/>
      <c r="J2" s="915"/>
    </row>
    <row r="3" spans="1:17" ht="14.25" customHeight="1">
      <c r="A3" s="843" t="s">
        <v>291</v>
      </c>
      <c r="B3" s="914"/>
      <c r="C3" s="914"/>
      <c r="D3" s="914"/>
      <c r="E3" s="914"/>
      <c r="F3" s="914"/>
      <c r="G3" s="914"/>
      <c r="H3" s="914"/>
      <c r="I3" s="914"/>
      <c r="J3" s="915"/>
    </row>
    <row r="4" spans="1:17" ht="14.25" customHeight="1">
      <c r="A4" s="505" t="s">
        <v>292</v>
      </c>
      <c r="B4" s="134" t="s">
        <v>259</v>
      </c>
      <c r="C4" s="134" t="s">
        <v>260</v>
      </c>
      <c r="D4" s="134" t="s">
        <v>261</v>
      </c>
      <c r="E4" s="134" t="s">
        <v>262</v>
      </c>
      <c r="F4" s="134" t="s">
        <v>263</v>
      </c>
      <c r="G4" s="134" t="s">
        <v>264</v>
      </c>
      <c r="H4" s="134" t="s">
        <v>265</v>
      </c>
      <c r="I4" s="134" t="s">
        <v>266</v>
      </c>
      <c r="J4" s="508" t="s">
        <v>267</v>
      </c>
      <c r="P4" s="135"/>
      <c r="Q4" s="135"/>
    </row>
    <row r="5" spans="1:17" ht="14.25" customHeight="1">
      <c r="A5" s="998" t="s">
        <v>293</v>
      </c>
      <c r="B5" s="146">
        <f>' Means of Fin'!C4</f>
        <v>4540.0876378559997</v>
      </c>
      <c r="C5" s="146">
        <f>B5-B7</f>
        <v>4540.0876378559997</v>
      </c>
      <c r="D5" s="146">
        <f t="shared" ref="D5:J5" si="0">+C6-C8</f>
        <v>3934.7426194751997</v>
      </c>
      <c r="E5" s="146">
        <f t="shared" si="0"/>
        <v>3329.3976010943998</v>
      </c>
      <c r="F5" s="146">
        <f t="shared" si="0"/>
        <v>2724.0525827135998</v>
      </c>
      <c r="G5" s="146">
        <f t="shared" si="0"/>
        <v>2118.7075643327998</v>
      </c>
      <c r="H5" s="146">
        <f t="shared" si="0"/>
        <v>1513.3625459519999</v>
      </c>
      <c r="I5" s="146">
        <f t="shared" si="0"/>
        <v>908.01752757119993</v>
      </c>
      <c r="J5" s="527">
        <f t="shared" si="0"/>
        <v>302.67250919039998</v>
      </c>
      <c r="K5" s="139"/>
      <c r="L5" s="140"/>
      <c r="M5" s="140"/>
      <c r="N5" s="141"/>
      <c r="O5" s="141"/>
      <c r="P5" s="138"/>
    </row>
    <row r="6" spans="1:17" ht="14.25" customHeight="1">
      <c r="A6" s="916"/>
      <c r="B6" s="146"/>
      <c r="C6" s="146">
        <f t="shared" ref="C6:J6" si="1">+C5-C7</f>
        <v>4237.4151286655997</v>
      </c>
      <c r="D6" s="146">
        <f t="shared" si="1"/>
        <v>3632.0701102847997</v>
      </c>
      <c r="E6" s="146">
        <f t="shared" si="1"/>
        <v>3026.7250919039998</v>
      </c>
      <c r="F6" s="146">
        <f t="shared" si="1"/>
        <v>2421.3800735231998</v>
      </c>
      <c r="G6" s="146">
        <f t="shared" si="1"/>
        <v>1816.0350551423999</v>
      </c>
      <c r="H6" s="146">
        <f t="shared" si="1"/>
        <v>1210.6900367615999</v>
      </c>
      <c r="I6" s="146">
        <f t="shared" si="1"/>
        <v>605.34501838079996</v>
      </c>
      <c r="J6" s="527">
        <f t="shared" si="1"/>
        <v>0</v>
      </c>
      <c r="L6" s="139"/>
      <c r="M6" s="139"/>
      <c r="N6" s="139"/>
      <c r="O6" s="139"/>
      <c r="P6" s="138"/>
    </row>
    <row r="7" spans="1:17" ht="14.25" customHeight="1">
      <c r="A7" s="1136" t="s">
        <v>294</v>
      </c>
      <c r="B7" s="146">
        <v>0</v>
      </c>
      <c r="C7" s="146">
        <f>+$B$5/15</f>
        <v>302.67250919039998</v>
      </c>
      <c r="D7" s="146">
        <f t="shared" ref="D7:I8" si="2">+$B$5/15</f>
        <v>302.67250919039998</v>
      </c>
      <c r="E7" s="146">
        <f t="shared" si="2"/>
        <v>302.67250919039998</v>
      </c>
      <c r="F7" s="146">
        <f t="shared" si="2"/>
        <v>302.67250919039998</v>
      </c>
      <c r="G7" s="146">
        <f t="shared" si="2"/>
        <v>302.67250919039998</v>
      </c>
      <c r="H7" s="146">
        <f t="shared" si="2"/>
        <v>302.67250919039998</v>
      </c>
      <c r="I7" s="146">
        <f t="shared" si="2"/>
        <v>302.67250919039998</v>
      </c>
      <c r="J7" s="527">
        <f>+$B$5/15</f>
        <v>302.67250919039998</v>
      </c>
      <c r="K7" s="141"/>
      <c r="L7" s="139"/>
      <c r="M7" s="139"/>
      <c r="N7" s="139"/>
      <c r="O7" s="139"/>
      <c r="P7" s="138"/>
    </row>
    <row r="8" spans="1:17" ht="14.25" customHeight="1">
      <c r="A8" s="1136"/>
      <c r="B8" s="146">
        <v>0</v>
      </c>
      <c r="C8" s="146">
        <f>+$B$5/15</f>
        <v>302.67250919039998</v>
      </c>
      <c r="D8" s="146">
        <f t="shared" si="2"/>
        <v>302.67250919039998</v>
      </c>
      <c r="E8" s="146">
        <f t="shared" si="2"/>
        <v>302.67250919039998</v>
      </c>
      <c r="F8" s="146">
        <f t="shared" si="2"/>
        <v>302.67250919039998</v>
      </c>
      <c r="G8" s="146">
        <f t="shared" si="2"/>
        <v>302.67250919039998</v>
      </c>
      <c r="H8" s="146">
        <f t="shared" si="2"/>
        <v>302.67250919039998</v>
      </c>
      <c r="I8" s="146">
        <f t="shared" si="2"/>
        <v>302.67250919039998</v>
      </c>
      <c r="J8" s="527">
        <f>+$B$5/15</f>
        <v>302.67250919039998</v>
      </c>
      <c r="L8" s="139"/>
      <c r="M8" s="139"/>
      <c r="N8" s="139"/>
      <c r="O8" s="139"/>
      <c r="P8" s="138"/>
    </row>
    <row r="9" spans="1:17" ht="14.25" customHeight="1">
      <c r="A9" s="998" t="s">
        <v>295</v>
      </c>
      <c r="B9" s="146">
        <f t="shared" ref="B9:J9" si="3">SUM(B7:B8)</f>
        <v>0</v>
      </c>
      <c r="C9" s="146">
        <f t="shared" si="3"/>
        <v>605.34501838079996</v>
      </c>
      <c r="D9" s="146">
        <f t="shared" si="3"/>
        <v>605.34501838079996</v>
      </c>
      <c r="E9" s="146">
        <f t="shared" si="3"/>
        <v>605.34501838079996</v>
      </c>
      <c r="F9" s="146">
        <f t="shared" si="3"/>
        <v>605.34501838079996</v>
      </c>
      <c r="G9" s="146">
        <f t="shared" si="3"/>
        <v>605.34501838079996</v>
      </c>
      <c r="H9" s="146">
        <f t="shared" si="3"/>
        <v>605.34501838079996</v>
      </c>
      <c r="I9" s="146">
        <f t="shared" si="3"/>
        <v>605.34501838079996</v>
      </c>
      <c r="J9" s="527">
        <f t="shared" si="3"/>
        <v>605.34501838079996</v>
      </c>
      <c r="L9" s="139"/>
      <c r="M9" s="139"/>
      <c r="N9" s="139"/>
      <c r="O9" s="139"/>
      <c r="P9" s="138"/>
    </row>
    <row r="10" spans="1:17" ht="14.25" customHeight="1">
      <c r="A10" s="1136" t="s">
        <v>296</v>
      </c>
      <c r="B10" s="146">
        <f>+B$5*B$2/2</f>
        <v>227.00438189279998</v>
      </c>
      <c r="C10" s="146">
        <f>+C5*$B$2/2</f>
        <v>227.00438189279998</v>
      </c>
      <c r="D10" s="146">
        <f>+D5*$B$2/2</f>
        <v>196.73713097376</v>
      </c>
      <c r="E10" s="146">
        <f>+E5*$B$2/2</f>
        <v>166.46988005471999</v>
      </c>
      <c r="F10" s="146">
        <f t="shared" ref="C10:J11" si="4">+F5*$B$2/2</f>
        <v>136.20262913567998</v>
      </c>
      <c r="G10" s="146">
        <f t="shared" si="4"/>
        <v>105.93537821664</v>
      </c>
      <c r="H10" s="146">
        <f t="shared" si="4"/>
        <v>75.668127297599995</v>
      </c>
      <c r="I10" s="146">
        <f t="shared" si="4"/>
        <v>45.40087637856</v>
      </c>
      <c r="J10" s="527">
        <f t="shared" si="4"/>
        <v>15.133625459519999</v>
      </c>
      <c r="K10" s="142"/>
      <c r="L10" s="139"/>
      <c r="M10" s="139"/>
      <c r="N10" s="139"/>
      <c r="O10" s="139"/>
      <c r="P10" s="138"/>
    </row>
    <row r="11" spans="1:17" ht="14.25" customHeight="1">
      <c r="A11" s="1136"/>
      <c r="B11" s="146">
        <f>+B10</f>
        <v>227.00438189279998</v>
      </c>
      <c r="C11" s="146">
        <f t="shared" si="4"/>
        <v>211.87075643328001</v>
      </c>
      <c r="D11" s="146">
        <f t="shared" si="4"/>
        <v>181.60350551424</v>
      </c>
      <c r="E11" s="146">
        <f t="shared" si="4"/>
        <v>151.33625459519999</v>
      </c>
      <c r="F11" s="146">
        <f t="shared" si="4"/>
        <v>121.06900367615999</v>
      </c>
      <c r="G11" s="146">
        <f t="shared" si="4"/>
        <v>90.801752757119999</v>
      </c>
      <c r="H11" s="146">
        <f t="shared" si="4"/>
        <v>60.534501838079997</v>
      </c>
      <c r="I11" s="146">
        <f t="shared" si="4"/>
        <v>30.267250919039999</v>
      </c>
      <c r="J11" s="527">
        <f t="shared" si="4"/>
        <v>0</v>
      </c>
      <c r="K11" s="142"/>
      <c r="L11" s="139"/>
      <c r="M11" s="139"/>
      <c r="N11" s="139"/>
      <c r="O11" s="139"/>
      <c r="P11" s="138"/>
    </row>
    <row r="12" spans="1:17" ht="14.25" customHeight="1">
      <c r="A12" s="998" t="s">
        <v>297</v>
      </c>
      <c r="B12" s="902">
        <f>+B10+B11</f>
        <v>454.00876378559997</v>
      </c>
      <c r="C12" s="902">
        <f>+C10+C11</f>
        <v>438.87513832607999</v>
      </c>
      <c r="D12" s="902">
        <f>+D10+D11</f>
        <v>378.34063648799997</v>
      </c>
      <c r="E12" s="902">
        <f>+E10+E11</f>
        <v>317.80613464991995</v>
      </c>
      <c r="F12" s="902">
        <f>+F10+F11</f>
        <v>257.27163281183999</v>
      </c>
      <c r="G12" s="902">
        <f>+G10+12</f>
        <v>117.93537821664</v>
      </c>
      <c r="H12" s="902">
        <f>+H10+12</f>
        <v>87.668127297599995</v>
      </c>
      <c r="I12" s="902">
        <f>+I10+12</f>
        <v>57.40087637856</v>
      </c>
      <c r="J12" s="903">
        <f>+J10+12</f>
        <v>27.133625459519997</v>
      </c>
      <c r="K12" s="141"/>
      <c r="L12" s="139"/>
      <c r="M12" s="139"/>
      <c r="N12" s="139"/>
      <c r="O12" s="139"/>
      <c r="P12" s="138"/>
    </row>
    <row r="13" spans="1:17" ht="14.25" customHeight="1">
      <c r="A13" s="917"/>
      <c r="B13" s="143"/>
      <c r="C13" s="143"/>
      <c r="D13" s="143"/>
      <c r="E13" s="143"/>
      <c r="F13" s="143"/>
      <c r="G13" s="143"/>
      <c r="H13" s="143"/>
      <c r="I13" s="143"/>
      <c r="J13" s="918"/>
      <c r="K13" s="141"/>
      <c r="L13" s="139"/>
      <c r="M13" s="139"/>
      <c r="N13" s="139"/>
      <c r="O13" s="139"/>
      <c r="P13" s="138"/>
    </row>
    <row r="14" spans="1:17" ht="14.25" customHeight="1">
      <c r="A14" s="1133" t="s">
        <v>474</v>
      </c>
      <c r="B14" s="1134"/>
      <c r="C14" s="1134"/>
      <c r="D14" s="1134"/>
      <c r="E14" s="1134"/>
      <c r="F14" s="1134"/>
      <c r="G14" s="1134"/>
      <c r="H14" s="1134"/>
      <c r="I14" s="1134"/>
      <c r="J14" s="1135"/>
    </row>
    <row r="15" spans="1:17" ht="14.25" customHeight="1">
      <c r="A15" s="912" t="s">
        <v>290</v>
      </c>
      <c r="B15" s="913">
        <v>0.1</v>
      </c>
      <c r="C15" s="914"/>
      <c r="D15" s="914"/>
      <c r="E15" s="914"/>
      <c r="F15" s="914"/>
      <c r="G15" s="914"/>
      <c r="H15" s="914"/>
      <c r="I15" s="914"/>
      <c r="J15" s="915"/>
    </row>
    <row r="16" spans="1:17" ht="14.25" customHeight="1">
      <c r="A16" s="843" t="s">
        <v>291</v>
      </c>
      <c r="B16" s="914"/>
      <c r="C16" s="914"/>
      <c r="D16" s="914"/>
      <c r="E16" s="914"/>
      <c r="F16" s="914"/>
      <c r="G16" s="914"/>
      <c r="H16" s="914"/>
      <c r="I16" s="914"/>
      <c r="J16" s="915"/>
    </row>
    <row r="17" spans="1:10" ht="14.25" customHeight="1">
      <c r="A17" s="505" t="s">
        <v>292</v>
      </c>
      <c r="B17" s="134" t="s">
        <v>259</v>
      </c>
      <c r="C17" s="134" t="s">
        <v>260</v>
      </c>
      <c r="D17" s="134" t="s">
        <v>261</v>
      </c>
      <c r="E17" s="134" t="s">
        <v>262</v>
      </c>
      <c r="F17" s="134" t="s">
        <v>263</v>
      </c>
      <c r="G17" s="134" t="s">
        <v>264</v>
      </c>
      <c r="H17" s="134" t="s">
        <v>265</v>
      </c>
      <c r="I17" s="134" t="s">
        <v>266</v>
      </c>
      <c r="J17" s="508" t="s">
        <v>267</v>
      </c>
    </row>
    <row r="18" spans="1:10" ht="14.25" customHeight="1">
      <c r="A18" s="998" t="s">
        <v>293</v>
      </c>
      <c r="B18" s="146">
        <f>' Means of Fin'!C9</f>
        <v>3119.5873258559996</v>
      </c>
      <c r="C18" s="146">
        <f>B18-B20</f>
        <v>3119.5873258559996</v>
      </c>
      <c r="D18" s="146">
        <f t="shared" ref="D18:J18" si="5">+C19-C21</f>
        <v>2703.6423490751995</v>
      </c>
      <c r="E18" s="146">
        <f t="shared" si="5"/>
        <v>2287.6973722943994</v>
      </c>
      <c r="F18" s="146">
        <f t="shared" si="5"/>
        <v>1871.7523955135994</v>
      </c>
      <c r="G18" s="146">
        <f t="shared" si="5"/>
        <v>1455.8074187327993</v>
      </c>
      <c r="H18" s="146">
        <f t="shared" si="5"/>
        <v>1039.8624419519992</v>
      </c>
      <c r="I18" s="146">
        <f t="shared" si="5"/>
        <v>623.91746517119918</v>
      </c>
      <c r="J18" s="527">
        <f t="shared" si="5"/>
        <v>207.97248839039923</v>
      </c>
    </row>
    <row r="19" spans="1:10" ht="14.25" customHeight="1">
      <c r="A19" s="916"/>
      <c r="B19" s="146"/>
      <c r="C19" s="146">
        <f t="shared" ref="C19:G19" si="6">+C18-C20</f>
        <v>2911.6148374655995</v>
      </c>
      <c r="D19" s="146">
        <f t="shared" si="6"/>
        <v>2495.6698606847995</v>
      </c>
      <c r="E19" s="146">
        <f t="shared" si="6"/>
        <v>2079.7248839039994</v>
      </c>
      <c r="F19" s="146">
        <f t="shared" si="6"/>
        <v>1663.7799071231993</v>
      </c>
      <c r="G19" s="146">
        <f t="shared" si="6"/>
        <v>1247.8349303423993</v>
      </c>
      <c r="H19" s="146">
        <f t="shared" ref="H19" si="7">+H18-H20</f>
        <v>831.88995356159921</v>
      </c>
      <c r="I19" s="146">
        <f t="shared" ref="I19" si="8">+I18-I20</f>
        <v>415.94497678079921</v>
      </c>
      <c r="J19" s="527">
        <f t="shared" ref="J19" si="9">+J18-J20</f>
        <v>-7.3896444519050419E-13</v>
      </c>
    </row>
    <row r="20" spans="1:10" ht="14.25" customHeight="1">
      <c r="A20" s="1136" t="s">
        <v>294</v>
      </c>
      <c r="B20" s="146">
        <v>0</v>
      </c>
      <c r="C20" s="146">
        <f>+B18/15</f>
        <v>207.97248839039997</v>
      </c>
      <c r="D20" s="146">
        <f>+$B$18/15</f>
        <v>207.97248839039997</v>
      </c>
      <c r="E20" s="146">
        <f t="shared" ref="E20:J21" si="10">+$B$18/15</f>
        <v>207.97248839039997</v>
      </c>
      <c r="F20" s="146">
        <f t="shared" si="10"/>
        <v>207.97248839039997</v>
      </c>
      <c r="G20" s="146">
        <f t="shared" si="10"/>
        <v>207.97248839039997</v>
      </c>
      <c r="H20" s="146">
        <f t="shared" si="10"/>
        <v>207.97248839039997</v>
      </c>
      <c r="I20" s="146">
        <f t="shared" si="10"/>
        <v>207.97248839039997</v>
      </c>
      <c r="J20" s="527">
        <f t="shared" si="10"/>
        <v>207.97248839039997</v>
      </c>
    </row>
    <row r="21" spans="1:10" ht="14.25" customHeight="1">
      <c r="A21" s="1136"/>
      <c r="B21" s="146">
        <v>0</v>
      </c>
      <c r="C21" s="146">
        <f>+$B$18/15</f>
        <v>207.97248839039997</v>
      </c>
      <c r="D21" s="146">
        <f t="shared" ref="D21" si="11">+$B$18/15</f>
        <v>207.97248839039997</v>
      </c>
      <c r="E21" s="146">
        <f t="shared" si="10"/>
        <v>207.97248839039997</v>
      </c>
      <c r="F21" s="146">
        <f t="shared" si="10"/>
        <v>207.97248839039997</v>
      </c>
      <c r="G21" s="146">
        <f t="shared" si="10"/>
        <v>207.97248839039997</v>
      </c>
      <c r="H21" s="146">
        <f t="shared" si="10"/>
        <v>207.97248839039997</v>
      </c>
      <c r="I21" s="146">
        <f t="shared" si="10"/>
        <v>207.97248839039997</v>
      </c>
      <c r="J21" s="527">
        <f t="shared" si="10"/>
        <v>207.97248839039997</v>
      </c>
    </row>
    <row r="22" spans="1:10" ht="14.25" customHeight="1">
      <c r="A22" s="998" t="s">
        <v>295</v>
      </c>
      <c r="B22" s="146">
        <f t="shared" ref="B22:J22" si="12">SUM(B20:B21)</f>
        <v>0</v>
      </c>
      <c r="C22" s="146">
        <f t="shared" si="12"/>
        <v>415.94497678079995</v>
      </c>
      <c r="D22" s="146">
        <f t="shared" si="12"/>
        <v>415.94497678079995</v>
      </c>
      <c r="E22" s="146">
        <f t="shared" si="12"/>
        <v>415.94497678079995</v>
      </c>
      <c r="F22" s="146">
        <f t="shared" si="12"/>
        <v>415.94497678079995</v>
      </c>
      <c r="G22" s="146">
        <f t="shared" si="12"/>
        <v>415.94497678079995</v>
      </c>
      <c r="H22" s="146">
        <f t="shared" si="12"/>
        <v>415.94497678079995</v>
      </c>
      <c r="I22" s="146">
        <f t="shared" si="12"/>
        <v>415.94497678079995</v>
      </c>
      <c r="J22" s="527">
        <f t="shared" si="12"/>
        <v>415.94497678079995</v>
      </c>
    </row>
    <row r="23" spans="1:10" ht="14.25" customHeight="1">
      <c r="A23" s="1136" t="s">
        <v>296</v>
      </c>
      <c r="B23" s="146">
        <f>+B18*B$2/2</f>
        <v>155.97936629279999</v>
      </c>
      <c r="C23" s="146">
        <f>+C18*$B$2/2</f>
        <v>155.97936629279999</v>
      </c>
      <c r="D23" s="146">
        <f t="shared" ref="D23:J23" si="13">+D18*$B$2/2</f>
        <v>135.18211745375999</v>
      </c>
      <c r="E23" s="146">
        <f t="shared" si="13"/>
        <v>114.38486861471998</v>
      </c>
      <c r="F23" s="146">
        <f t="shared" si="13"/>
        <v>93.587619775679968</v>
      </c>
      <c r="G23" s="146">
        <f t="shared" si="13"/>
        <v>72.790370936639974</v>
      </c>
      <c r="H23" s="146">
        <f t="shared" si="13"/>
        <v>51.993122097599965</v>
      </c>
      <c r="I23" s="146">
        <f t="shared" si="13"/>
        <v>31.19587325855996</v>
      </c>
      <c r="J23" s="527">
        <f t="shared" si="13"/>
        <v>10.398624419519962</v>
      </c>
    </row>
    <row r="24" spans="1:10" ht="14.25" customHeight="1">
      <c r="A24" s="1136"/>
      <c r="B24" s="146">
        <f>+B23</f>
        <v>155.97936629279999</v>
      </c>
      <c r="C24" s="146">
        <f t="shared" ref="C24:J24" si="14">+C19*$B$2/2</f>
        <v>145.58074187327998</v>
      </c>
      <c r="D24" s="146">
        <f>+D19*$B$2/2</f>
        <v>124.78349303423998</v>
      </c>
      <c r="E24" s="146">
        <f t="shared" si="14"/>
        <v>103.98624419519997</v>
      </c>
      <c r="F24" s="146">
        <f t="shared" si="14"/>
        <v>83.188995356159978</v>
      </c>
      <c r="G24" s="146">
        <f t="shared" si="14"/>
        <v>62.391746517119969</v>
      </c>
      <c r="H24" s="146">
        <f t="shared" si="14"/>
        <v>41.594497678079961</v>
      </c>
      <c r="I24" s="146">
        <f t="shared" si="14"/>
        <v>20.797248839039963</v>
      </c>
      <c r="J24" s="527">
        <f t="shared" si="14"/>
        <v>-3.6948222259525211E-14</v>
      </c>
    </row>
    <row r="25" spans="1:10" ht="14.25" customHeight="1">
      <c r="A25" s="998" t="s">
        <v>297</v>
      </c>
      <c r="B25" s="902">
        <f>+B23+B24</f>
        <v>311.95873258559999</v>
      </c>
      <c r="C25" s="902">
        <f>+C23+C24</f>
        <v>301.56010816608</v>
      </c>
      <c r="D25" s="902">
        <f>+D23+D24</f>
        <v>259.96561048799998</v>
      </c>
      <c r="E25" s="902">
        <f>+E23+E24</f>
        <v>218.37111280991996</v>
      </c>
      <c r="F25" s="902">
        <f>+F23+F24</f>
        <v>176.77661513183995</v>
      </c>
      <c r="G25" s="902">
        <f>+G23+12</f>
        <v>84.790370936639974</v>
      </c>
      <c r="H25" s="902">
        <f>+H23+12</f>
        <v>63.993122097599965</v>
      </c>
      <c r="I25" s="902">
        <f>+I23+12</f>
        <v>43.195873258559956</v>
      </c>
      <c r="J25" s="903">
        <f>+J23+12</f>
        <v>22.398624419519962</v>
      </c>
    </row>
    <row r="26" spans="1:10" ht="14.25" customHeight="1">
      <c r="A26" s="1133" t="s">
        <v>547</v>
      </c>
      <c r="B26" s="1134"/>
      <c r="C26" s="1134"/>
      <c r="D26" s="1134"/>
      <c r="E26" s="1134"/>
      <c r="F26" s="1134"/>
      <c r="G26" s="1134"/>
      <c r="H26" s="1134"/>
      <c r="I26" s="1134"/>
      <c r="J26" s="1135"/>
    </row>
    <row r="27" spans="1:10" ht="14.25" customHeight="1">
      <c r="A27" s="912" t="s">
        <v>290</v>
      </c>
      <c r="B27" s="913">
        <v>0.1</v>
      </c>
      <c r="C27" s="919"/>
      <c r="D27" s="919"/>
      <c r="E27" s="919"/>
      <c r="F27" s="919"/>
      <c r="G27" s="919"/>
      <c r="H27" s="919"/>
      <c r="I27" s="919"/>
      <c r="J27" s="920"/>
    </row>
    <row r="28" spans="1:10" ht="14.25" customHeight="1">
      <c r="A28" s="505" t="s">
        <v>292</v>
      </c>
      <c r="B28" s="134" t="s">
        <v>259</v>
      </c>
      <c r="C28" s="134" t="s">
        <v>260</v>
      </c>
      <c r="D28" s="134" t="s">
        <v>261</v>
      </c>
      <c r="E28" s="134" t="s">
        <v>262</v>
      </c>
      <c r="F28" s="134" t="s">
        <v>263</v>
      </c>
      <c r="G28" s="134" t="s">
        <v>264</v>
      </c>
      <c r="H28" s="134" t="s">
        <v>265</v>
      </c>
      <c r="I28" s="134" t="s">
        <v>266</v>
      </c>
      <c r="J28" s="508" t="s">
        <v>267</v>
      </c>
    </row>
    <row r="29" spans="1:10" ht="14.25" customHeight="1">
      <c r="A29" s="998" t="s">
        <v>293</v>
      </c>
      <c r="B29" s="146">
        <f>' Means of Fin'!C13</f>
        <v>6520.5935758559999</v>
      </c>
      <c r="C29" s="146">
        <f>B29-B31</f>
        <v>6520.5935758559999</v>
      </c>
      <c r="D29" s="146">
        <f t="shared" ref="D29" si="15">+C30-C32</f>
        <v>5651.1810990751992</v>
      </c>
      <c r="E29" s="146">
        <f t="shared" ref="E29" si="16">+D30-D32</f>
        <v>4781.7686222943985</v>
      </c>
      <c r="F29" s="146">
        <f t="shared" ref="F29" si="17">+E30-E32</f>
        <v>3912.3561455135982</v>
      </c>
      <c r="G29" s="146">
        <f t="shared" ref="G29" si="18">+F30-F32</f>
        <v>3042.9436687327984</v>
      </c>
      <c r="H29" s="146">
        <f t="shared" ref="H29" si="19">+G30-G32</f>
        <v>2173.5311919519986</v>
      </c>
      <c r="I29" s="146">
        <f t="shared" ref="I29" si="20">+H30-H32</f>
        <v>1304.1187151711988</v>
      </c>
      <c r="J29" s="527">
        <f t="shared" ref="J29" si="21">+I30-I32</f>
        <v>434.70623839039877</v>
      </c>
    </row>
    <row r="30" spans="1:10" ht="14.25" customHeight="1">
      <c r="A30" s="916"/>
      <c r="B30" s="146"/>
      <c r="C30" s="146">
        <f t="shared" ref="C30:J30" si="22">+C29-C31</f>
        <v>6085.8873374655996</v>
      </c>
      <c r="D30" s="146">
        <f t="shared" si="22"/>
        <v>5216.4748606847988</v>
      </c>
      <c r="E30" s="146">
        <f t="shared" si="22"/>
        <v>4347.0623839039981</v>
      </c>
      <c r="F30" s="146">
        <f t="shared" si="22"/>
        <v>3477.6499071231983</v>
      </c>
      <c r="G30" s="146">
        <f t="shared" si="22"/>
        <v>2608.2374303423985</v>
      </c>
      <c r="H30" s="146">
        <f t="shared" si="22"/>
        <v>1738.8249535615987</v>
      </c>
      <c r="I30" s="146">
        <f t="shared" si="22"/>
        <v>869.41247678079878</v>
      </c>
      <c r="J30" s="527">
        <f t="shared" si="22"/>
        <v>-1.2505552149377763E-12</v>
      </c>
    </row>
    <row r="31" spans="1:10" ht="14.25" customHeight="1">
      <c r="A31" s="1136" t="s">
        <v>294</v>
      </c>
      <c r="B31" s="146">
        <v>0</v>
      </c>
      <c r="C31" s="146">
        <f>+B29/15</f>
        <v>434.70623839040002</v>
      </c>
      <c r="D31" s="146">
        <f>+$B$29/15</f>
        <v>434.70623839040002</v>
      </c>
      <c r="E31" s="146">
        <f t="shared" ref="E31:J32" si="23">+$B$29/15</f>
        <v>434.70623839040002</v>
      </c>
      <c r="F31" s="146">
        <f t="shared" si="23"/>
        <v>434.70623839040002</v>
      </c>
      <c r="G31" s="146">
        <f t="shared" si="23"/>
        <v>434.70623839040002</v>
      </c>
      <c r="H31" s="146">
        <f t="shared" si="23"/>
        <v>434.70623839040002</v>
      </c>
      <c r="I31" s="146">
        <f t="shared" si="23"/>
        <v>434.70623839040002</v>
      </c>
      <c r="J31" s="527">
        <f t="shared" si="23"/>
        <v>434.70623839040002</v>
      </c>
    </row>
    <row r="32" spans="1:10" ht="14.25" customHeight="1">
      <c r="A32" s="1136"/>
      <c r="B32" s="146">
        <v>0</v>
      </c>
      <c r="C32" s="146">
        <f>+$B$29/15</f>
        <v>434.70623839040002</v>
      </c>
      <c r="D32" s="146">
        <f t="shared" ref="D32" si="24">+$B$29/15</f>
        <v>434.70623839040002</v>
      </c>
      <c r="E32" s="146">
        <f t="shared" si="23"/>
        <v>434.70623839040002</v>
      </c>
      <c r="F32" s="146">
        <f t="shared" si="23"/>
        <v>434.70623839040002</v>
      </c>
      <c r="G32" s="146">
        <f t="shared" si="23"/>
        <v>434.70623839040002</v>
      </c>
      <c r="H32" s="146">
        <f t="shared" si="23"/>
        <v>434.70623839040002</v>
      </c>
      <c r="I32" s="146">
        <f t="shared" si="23"/>
        <v>434.70623839040002</v>
      </c>
      <c r="J32" s="527">
        <f t="shared" si="23"/>
        <v>434.70623839040002</v>
      </c>
    </row>
    <row r="33" spans="1:10" ht="14.25" customHeight="1">
      <c r="A33" s="998" t="s">
        <v>295</v>
      </c>
      <c r="B33" s="146">
        <f t="shared" ref="B33:J33" si="25">SUM(B31:B32)</f>
        <v>0</v>
      </c>
      <c r="C33" s="146">
        <f t="shared" si="25"/>
        <v>869.41247678080003</v>
      </c>
      <c r="D33" s="146">
        <f t="shared" si="25"/>
        <v>869.41247678080003</v>
      </c>
      <c r="E33" s="146">
        <f t="shared" si="25"/>
        <v>869.41247678080003</v>
      </c>
      <c r="F33" s="146">
        <f t="shared" si="25"/>
        <v>869.41247678080003</v>
      </c>
      <c r="G33" s="146">
        <f t="shared" si="25"/>
        <v>869.41247678080003</v>
      </c>
      <c r="H33" s="146">
        <f t="shared" si="25"/>
        <v>869.41247678080003</v>
      </c>
      <c r="I33" s="146">
        <f t="shared" si="25"/>
        <v>869.41247678080003</v>
      </c>
      <c r="J33" s="527">
        <f t="shared" si="25"/>
        <v>869.41247678080003</v>
      </c>
    </row>
    <row r="34" spans="1:10" ht="14.25" customHeight="1">
      <c r="A34" s="1136" t="s">
        <v>296</v>
      </c>
      <c r="B34" s="146">
        <f>+B29*B$2/2</f>
        <v>326.02967879280004</v>
      </c>
      <c r="C34" s="146">
        <f>+C29*$B$2/2</f>
        <v>326.02967879280004</v>
      </c>
      <c r="D34" s="146">
        <f>+D29*$B$2/2</f>
        <v>282.55905495375998</v>
      </c>
      <c r="E34" s="146">
        <f t="shared" ref="E34:J34" si="26">+E29*$B$2/2</f>
        <v>239.08843111471992</v>
      </c>
      <c r="F34" s="146">
        <f t="shared" si="26"/>
        <v>195.61780727567992</v>
      </c>
      <c r="G34" s="146">
        <f t="shared" si="26"/>
        <v>152.14718343663992</v>
      </c>
      <c r="H34" s="146">
        <f t="shared" si="26"/>
        <v>108.67655959759993</v>
      </c>
      <c r="I34" s="146">
        <f t="shared" si="26"/>
        <v>65.205935758559946</v>
      </c>
      <c r="J34" s="527">
        <f t="shared" si="26"/>
        <v>21.73531191951994</v>
      </c>
    </row>
    <row r="35" spans="1:10" ht="14.25" customHeight="1">
      <c r="A35" s="1136"/>
      <c r="B35" s="146">
        <f>+B34</f>
        <v>326.02967879280004</v>
      </c>
      <c r="C35" s="146">
        <f>+C30*$B$2/2</f>
        <v>304.29436687328001</v>
      </c>
      <c r="D35" s="146">
        <f>+D30*$B$2/2</f>
        <v>260.82374303423995</v>
      </c>
      <c r="E35" s="146">
        <f>+E30*$B$2/2</f>
        <v>217.35311919519992</v>
      </c>
      <c r="F35" s="146">
        <f t="shared" ref="F35:J35" si="27">+F30*$B$2/2</f>
        <v>173.88249535615992</v>
      </c>
      <c r="G35" s="146">
        <f t="shared" si="27"/>
        <v>130.41187151711992</v>
      </c>
      <c r="H35" s="146">
        <f t="shared" si="27"/>
        <v>86.941247678079947</v>
      </c>
      <c r="I35" s="146">
        <f t="shared" si="27"/>
        <v>43.470623839039945</v>
      </c>
      <c r="J35" s="527">
        <f t="shared" si="27"/>
        <v>-6.2527760746888821E-14</v>
      </c>
    </row>
    <row r="36" spans="1:10" ht="14.25" customHeight="1">
      <c r="A36" s="921" t="s">
        <v>297</v>
      </c>
      <c r="B36" s="904">
        <f>+B34+B35</f>
        <v>652.05935758560008</v>
      </c>
      <c r="C36" s="904">
        <f>+C34+C35</f>
        <v>630.32404566608011</v>
      </c>
      <c r="D36" s="904">
        <f>+D34+D35</f>
        <v>543.38279798799999</v>
      </c>
      <c r="E36" s="904">
        <f>+E34+E35</f>
        <v>456.44155030991988</v>
      </c>
      <c r="F36" s="904">
        <f>+F34+F35</f>
        <v>369.50030263183987</v>
      </c>
      <c r="G36" s="904">
        <f>+G34+12</f>
        <v>164.14718343663992</v>
      </c>
      <c r="H36" s="904">
        <f>+H34+12</f>
        <v>120.67655959759993</v>
      </c>
      <c r="I36" s="904">
        <f>+I34+12</f>
        <v>77.205935758559946</v>
      </c>
      <c r="J36" s="922">
        <f>+J34+12</f>
        <v>33.735311919519944</v>
      </c>
    </row>
    <row r="37" spans="1:10" ht="14.25" customHeight="1">
      <c r="A37" s="839"/>
      <c r="B37" s="146"/>
      <c r="C37" s="146"/>
      <c r="D37" s="146"/>
      <c r="E37" s="146"/>
      <c r="F37" s="146"/>
      <c r="G37" s="146"/>
      <c r="H37" s="146"/>
      <c r="I37" s="146"/>
      <c r="J37" s="146"/>
    </row>
    <row r="38" spans="1:10" ht="25.5" customHeight="1"/>
    <row r="39" spans="1:10" ht="15">
      <c r="A39" s="144"/>
      <c r="B39" s="144"/>
      <c r="C39" s="144"/>
      <c r="D39" s="144"/>
      <c r="E39" s="144"/>
      <c r="F39" s="143"/>
      <c r="G39" s="143"/>
      <c r="H39" s="143"/>
      <c r="I39" s="143"/>
    </row>
    <row r="40" spans="1:10" ht="15">
      <c r="A40" s="144"/>
      <c r="B40" s="144"/>
      <c r="C40" s="144"/>
      <c r="D40" s="144"/>
      <c r="E40" s="144"/>
      <c r="F40" s="143"/>
      <c r="G40" s="143"/>
      <c r="H40" s="143"/>
      <c r="I40" s="143"/>
    </row>
    <row r="41" spans="1:10" ht="15">
      <c r="A41" s="144"/>
      <c r="B41" s="144"/>
      <c r="C41" s="144"/>
      <c r="D41" s="144"/>
      <c r="E41" s="144"/>
      <c r="F41" s="143"/>
      <c r="G41" s="143"/>
      <c r="H41" s="143"/>
      <c r="I41" s="143"/>
    </row>
    <row r="42" spans="1:10" ht="15">
      <c r="A42" s="143"/>
      <c r="B42" s="143"/>
      <c r="C42" s="143"/>
      <c r="D42" s="143"/>
      <c r="E42" s="143"/>
      <c r="F42" s="143"/>
      <c r="G42" s="143"/>
      <c r="H42" s="143"/>
      <c r="I42" s="143"/>
    </row>
    <row r="43" spans="1:10" ht="15">
      <c r="A43" s="143"/>
      <c r="B43" s="143"/>
      <c r="C43" s="143"/>
      <c r="D43" s="143"/>
      <c r="E43" s="143"/>
      <c r="F43" s="143"/>
      <c r="G43" s="143"/>
      <c r="H43" s="143"/>
      <c r="I43" s="143"/>
    </row>
    <row r="44" spans="1:10" ht="14.25">
      <c r="A44" s="145"/>
      <c r="B44" s="145"/>
      <c r="C44" s="145"/>
      <c r="D44" s="145"/>
      <c r="E44" s="145"/>
      <c r="F44" s="145"/>
      <c r="G44" s="145"/>
      <c r="H44" s="145"/>
      <c r="I44" s="145"/>
    </row>
    <row r="45" spans="1:10" ht="14.25">
      <c r="A45" s="144"/>
      <c r="B45" s="144"/>
      <c r="C45" s="144"/>
      <c r="D45" s="144"/>
      <c r="E45" s="144"/>
      <c r="F45" s="144"/>
      <c r="G45" s="144"/>
      <c r="H45" s="144"/>
      <c r="I45" s="144"/>
    </row>
    <row r="46" spans="1:10" ht="14.25">
      <c r="A46" s="144"/>
      <c r="B46" s="144"/>
      <c r="C46" s="144"/>
      <c r="D46" s="144"/>
      <c r="E46" s="144"/>
      <c r="F46" s="144"/>
      <c r="G46" s="144"/>
      <c r="H46" s="144"/>
      <c r="I46" s="144"/>
    </row>
    <row r="47" spans="1:10" ht="14.25">
      <c r="A47" s="144"/>
      <c r="B47" s="144"/>
      <c r="C47" s="144"/>
      <c r="D47" s="144"/>
      <c r="E47" s="144"/>
      <c r="F47" s="144"/>
      <c r="G47" s="144"/>
      <c r="H47" s="144"/>
      <c r="I47" s="144"/>
    </row>
    <row r="48" spans="1:10" ht="14.25">
      <c r="A48" s="144"/>
      <c r="B48" s="144"/>
      <c r="C48" s="144"/>
      <c r="D48" s="144"/>
      <c r="E48" s="144"/>
      <c r="F48" s="144"/>
      <c r="G48" s="144"/>
      <c r="H48" s="144"/>
      <c r="I48" s="144"/>
    </row>
    <row r="49" spans="1:9" ht="14.25">
      <c r="A49" s="144"/>
      <c r="B49" s="144"/>
      <c r="C49" s="144"/>
      <c r="D49" s="144"/>
      <c r="E49" s="144"/>
      <c r="F49" s="144"/>
      <c r="G49" s="144"/>
      <c r="H49" s="144"/>
      <c r="I49" s="144"/>
    </row>
    <row r="50" spans="1:9" ht="14.25">
      <c r="A50" s="144"/>
      <c r="B50" s="144"/>
      <c r="C50" s="144"/>
      <c r="D50" s="144"/>
      <c r="E50" s="144"/>
      <c r="F50" s="144"/>
      <c r="G50" s="144"/>
      <c r="H50" s="144"/>
      <c r="I50" s="144"/>
    </row>
    <row r="51" spans="1:9" ht="14.25">
      <c r="A51" s="144"/>
      <c r="B51" s="144"/>
      <c r="C51" s="144"/>
      <c r="D51" s="144"/>
      <c r="E51" s="144"/>
      <c r="F51" s="144"/>
      <c r="G51" s="144"/>
      <c r="H51" s="144"/>
      <c r="I51" s="144"/>
    </row>
  </sheetData>
  <mergeCells count="9">
    <mergeCell ref="A1:J1"/>
    <mergeCell ref="A14:J14"/>
    <mergeCell ref="A20:A21"/>
    <mergeCell ref="A31:A32"/>
    <mergeCell ref="A34:A35"/>
    <mergeCell ref="A26:J26"/>
    <mergeCell ref="A23:A24"/>
    <mergeCell ref="A7:A8"/>
    <mergeCell ref="A10:A11"/>
  </mergeCells>
  <printOptions horizontalCentered="1" gridLines="1"/>
  <pageMargins left="0.36" right="0.5" top="1" bottom="0.75" header="0.5" footer="0.5"/>
  <pageSetup paperSize="9" scale="61"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5AED-798D-40D2-A320-B8FF2FEB72DB}">
  <sheetPr codeName="Sheet41"/>
  <dimension ref="A1:C16"/>
  <sheetViews>
    <sheetView showGridLines="0" workbookViewId="0">
      <selection activeCell="J14" sqref="J14"/>
    </sheetView>
  </sheetViews>
  <sheetFormatPr defaultRowHeight="15"/>
  <cols>
    <col min="1" max="1" width="51.5703125" customWidth="1"/>
    <col min="2" max="2" width="15.85546875" customWidth="1"/>
    <col min="3" max="3" width="11.85546875" customWidth="1"/>
    <col min="5" max="5" width="11" bestFit="1" customWidth="1"/>
  </cols>
  <sheetData>
    <row r="1" spans="1:3">
      <c r="A1" s="1137" t="s">
        <v>416</v>
      </c>
      <c r="B1" s="1137"/>
      <c r="C1" s="1137"/>
    </row>
    <row r="2" spans="1:3">
      <c r="A2" s="491"/>
      <c r="B2" s="492" t="s">
        <v>417</v>
      </c>
      <c r="C2" s="492" t="s">
        <v>418</v>
      </c>
    </row>
    <row r="3" spans="1:3">
      <c r="A3" s="63" t="s">
        <v>419</v>
      </c>
      <c r="B3" s="58" t="s">
        <v>429</v>
      </c>
      <c r="C3" s="235">
        <v>20</v>
      </c>
    </row>
    <row r="4" spans="1:3">
      <c r="A4" s="63" t="s">
        <v>420</v>
      </c>
      <c r="B4" s="58" t="s">
        <v>429</v>
      </c>
      <c r="C4" s="235">
        <v>26</v>
      </c>
    </row>
    <row r="5" spans="1:3">
      <c r="A5" s="63" t="s">
        <v>421</v>
      </c>
      <c r="B5" s="58" t="s">
        <v>429</v>
      </c>
      <c r="C5" s="235">
        <v>6</v>
      </c>
    </row>
    <row r="6" spans="1:3">
      <c r="A6" s="63" t="s">
        <v>422</v>
      </c>
      <c r="B6" s="58" t="s">
        <v>430</v>
      </c>
      <c r="C6" s="235">
        <v>350</v>
      </c>
    </row>
    <row r="7" spans="1:3">
      <c r="A7" s="63" t="s">
        <v>423</v>
      </c>
      <c r="B7" s="58" t="s">
        <v>431</v>
      </c>
      <c r="C7" s="235">
        <v>350</v>
      </c>
    </row>
    <row r="8" spans="1:3">
      <c r="A8" s="63" t="s">
        <v>424</v>
      </c>
      <c r="B8" s="58" t="s">
        <v>431</v>
      </c>
      <c r="C8" s="235">
        <v>350</v>
      </c>
    </row>
    <row r="9" spans="1:3">
      <c r="A9" s="63" t="s">
        <v>425</v>
      </c>
      <c r="B9" s="58" t="s">
        <v>435</v>
      </c>
      <c r="C9" s="235">
        <v>2800</v>
      </c>
    </row>
    <row r="10" spans="1:3">
      <c r="A10" s="63" t="s">
        <v>426</v>
      </c>
      <c r="B10" s="58" t="s">
        <v>436</v>
      </c>
      <c r="C10" s="235">
        <v>6</v>
      </c>
    </row>
    <row r="11" spans="1:3">
      <c r="A11" s="63" t="s">
        <v>427</v>
      </c>
      <c r="B11" s="58" t="s">
        <v>434</v>
      </c>
      <c r="C11" s="235">
        <v>6</v>
      </c>
    </row>
    <row r="12" spans="1:3">
      <c r="A12" s="63" t="s">
        <v>428</v>
      </c>
      <c r="B12" s="1"/>
      <c r="C12" s="235">
        <v>1</v>
      </c>
    </row>
    <row r="13" spans="1:3">
      <c r="A13" s="34" t="s">
        <v>432</v>
      </c>
      <c r="B13" s="236" t="s">
        <v>433</v>
      </c>
      <c r="C13" s="336">
        <v>10</v>
      </c>
    </row>
    <row r="14" spans="1:3">
      <c r="A14" s="1"/>
      <c r="B14" s="58"/>
      <c r="C14" s="1"/>
    </row>
    <row r="15" spans="1:3">
      <c r="A15" s="1"/>
      <c r="B15" s="1"/>
      <c r="C15" s="1"/>
    </row>
    <row r="16" spans="1:3">
      <c r="A16" s="1"/>
      <c r="B16" s="1"/>
      <c r="C16" s="1"/>
    </row>
  </sheetData>
  <mergeCells count="1">
    <mergeCell ref="A1:C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14C3B-0FE4-4F15-A413-FB235A16C512}">
  <sheetPr codeName="Sheet13"/>
  <dimension ref="A1:Y15"/>
  <sheetViews>
    <sheetView showGridLines="0" workbookViewId="0">
      <selection activeCell="F5" sqref="F5"/>
    </sheetView>
  </sheetViews>
  <sheetFormatPr defaultRowHeight="15"/>
  <cols>
    <col min="1" max="1" width="33.140625" bestFit="1" customWidth="1"/>
    <col min="2" max="2" width="22.5703125" bestFit="1" customWidth="1"/>
    <col min="4" max="4" width="13.7109375" customWidth="1"/>
    <col min="5" max="5" width="18.28515625" bestFit="1" customWidth="1"/>
    <col min="6" max="7" width="16.5703125" bestFit="1" customWidth="1"/>
    <col min="8" max="14" width="15.5703125" bestFit="1" customWidth="1"/>
    <col min="15" max="15" width="13.5703125" bestFit="1" customWidth="1"/>
    <col min="16" max="23" width="11" bestFit="1" customWidth="1"/>
  </cols>
  <sheetData>
    <row r="1" spans="1:25">
      <c r="A1" s="1138"/>
      <c r="B1" s="1139"/>
      <c r="C1" s="1139"/>
      <c r="D1" s="1139"/>
      <c r="E1" s="49">
        <v>1</v>
      </c>
      <c r="F1" s="49">
        <v>2</v>
      </c>
      <c r="G1" s="49">
        <v>3</v>
      </c>
      <c r="H1" s="49">
        <v>4</v>
      </c>
      <c r="I1" s="49">
        <v>5</v>
      </c>
      <c r="J1" s="49">
        <v>6</v>
      </c>
      <c r="K1" s="50">
        <v>7</v>
      </c>
      <c r="L1" s="49">
        <v>8</v>
      </c>
      <c r="M1" s="50">
        <v>9</v>
      </c>
      <c r="N1" s="49">
        <v>10</v>
      </c>
      <c r="O1" s="49">
        <v>11</v>
      </c>
      <c r="P1" s="49">
        <v>12</v>
      </c>
      <c r="Q1" s="49">
        <v>13</v>
      </c>
      <c r="R1" s="49">
        <v>14</v>
      </c>
      <c r="S1" s="49">
        <v>15</v>
      </c>
      <c r="T1" s="49">
        <v>16</v>
      </c>
      <c r="U1" s="49">
        <v>17</v>
      </c>
      <c r="V1" s="49">
        <v>18</v>
      </c>
      <c r="W1" s="49">
        <v>19</v>
      </c>
    </row>
    <row r="2" spans="1:25">
      <c r="A2" s="51" t="s">
        <v>41</v>
      </c>
      <c r="B2" s="17"/>
      <c r="C2" s="18"/>
      <c r="E2" s="17"/>
      <c r="F2" s="17"/>
      <c r="G2" s="17"/>
      <c r="H2" s="17"/>
      <c r="I2" s="17"/>
      <c r="J2" s="17"/>
      <c r="K2" s="17"/>
      <c r="L2" s="17"/>
      <c r="M2" s="17"/>
      <c r="N2" s="17"/>
    </row>
    <row r="3" spans="1:25">
      <c r="A3" s="52"/>
      <c r="B3" s="18" t="s">
        <v>42</v>
      </c>
      <c r="C3" s="17" t="s">
        <v>43</v>
      </c>
      <c r="E3" s="21">
        <v>30</v>
      </c>
      <c r="F3" s="21">
        <v>30</v>
      </c>
      <c r="G3" s="21">
        <v>30</v>
      </c>
      <c r="H3" s="21">
        <v>30</v>
      </c>
      <c r="I3" s="21">
        <v>30</v>
      </c>
      <c r="J3" s="21">
        <v>30</v>
      </c>
      <c r="K3" s="21">
        <v>30</v>
      </c>
      <c r="L3" s="21">
        <v>30</v>
      </c>
      <c r="M3" s="21">
        <v>30</v>
      </c>
      <c r="N3" s="21">
        <v>30</v>
      </c>
      <c r="O3" s="21">
        <v>30</v>
      </c>
      <c r="P3" s="21">
        <v>30</v>
      </c>
      <c r="Q3" s="21">
        <v>30</v>
      </c>
      <c r="R3" s="21">
        <v>30</v>
      </c>
      <c r="S3" s="21">
        <v>30</v>
      </c>
      <c r="T3" s="21">
        <v>30</v>
      </c>
      <c r="U3" s="21">
        <v>30</v>
      </c>
      <c r="V3" s="21">
        <v>30</v>
      </c>
      <c r="W3" s="21">
        <v>30</v>
      </c>
    </row>
    <row r="4" spans="1:25">
      <c r="A4" s="52"/>
      <c r="B4" s="18" t="s">
        <v>44</v>
      </c>
      <c r="C4" s="17"/>
      <c r="E4" s="19">
        <f>'Cashflow 350 KTPA'!H10</f>
        <v>1831.362974583333</v>
      </c>
      <c r="F4" s="19">
        <f>'Cashflow 350 KTPA'!I10</f>
        <v>2490.0937716096746</v>
      </c>
      <c r="G4" s="19">
        <f>'Cashflow 350 KTPA'!J10</f>
        <v>2925.9708524756611</v>
      </c>
      <c r="H4" s="19">
        <f>'Cashflow 350 KTPA'!K10</f>
        <v>3094.3312153271104</v>
      </c>
      <c r="I4" s="19">
        <f>'Cashflow 350 KTPA'!L10</f>
        <v>3272.3790334570317</v>
      </c>
      <c r="J4" s="19">
        <f>'Cashflow 350 KTPA'!M10</f>
        <v>3460.6717230421491</v>
      </c>
      <c r="K4" s="19">
        <f>'Cashflow 350 KTPA'!N10</f>
        <v>3659.7987739859932</v>
      </c>
      <c r="L4" s="19">
        <f>'Cashflow 350 KTPA'!O10</f>
        <v>3870.3835954411475</v>
      </c>
      <c r="M4" s="19">
        <f>'Cashflow 350 KTPA'!P10</f>
        <v>4093.0854675228293</v>
      </c>
      <c r="N4" s="19">
        <f>'Cashflow 350 KTPA'!Q10</f>
        <v>4328.6016053240928</v>
      </c>
      <c r="O4" s="19">
        <f>'Cashflow 350 KTPA'!R10</f>
        <v>4577.6693416944408</v>
      </c>
      <c r="P4" s="19">
        <f>'Cashflow 350 KTPA'!S10</f>
        <v>4841.0684356155389</v>
      </c>
      <c r="Q4" s="19">
        <f>'Cashflow 350 KTPA'!T10</f>
        <v>5119.6235134008557</v>
      </c>
      <c r="R4" s="19">
        <f>'Cashflow 350 KTPA'!U10</f>
        <v>5414.2066503619417</v>
      </c>
      <c r="S4" s="19">
        <f>'Cashflow 350 KTPA'!V10</f>
        <v>5725.7401010237663</v>
      </c>
      <c r="T4" s="19">
        <f>'Cashflow 350 KTPA'!W10</f>
        <v>6055.1991864366746</v>
      </c>
      <c r="U4" s="19">
        <f>'Cashflow 350 KTPA'!X10</f>
        <v>6403.615347624238</v>
      </c>
      <c r="V4" s="19">
        <f>'Cashflow 350 KTPA'!Y10</f>
        <v>6772.0793747265361</v>
      </c>
      <c r="W4" s="19">
        <f>'Cashflow 350 KTPA'!Z10</f>
        <v>7161.7448219482994</v>
      </c>
    </row>
    <row r="5" spans="1:25">
      <c r="A5" s="52"/>
      <c r="B5" s="18" t="s">
        <v>45</v>
      </c>
      <c r="C5" s="17"/>
      <c r="E5" s="19">
        <f>+E4/365*E3</f>
        <v>150.52298421232874</v>
      </c>
      <c r="F5" s="19">
        <f t="shared" ref="F5:W5" si="0">+F4/365*F3</f>
        <v>204.66524150216506</v>
      </c>
      <c r="G5" s="19">
        <f t="shared" si="0"/>
        <v>240.49075499799955</v>
      </c>
      <c r="H5" s="19">
        <f t="shared" si="0"/>
        <v>254.32859304058439</v>
      </c>
      <c r="I5" s="19">
        <f t="shared" si="0"/>
        <v>268.96266028413959</v>
      </c>
      <c r="J5" s="19">
        <f t="shared" si="0"/>
        <v>284.43877175688897</v>
      </c>
      <c r="K5" s="19">
        <f t="shared" si="0"/>
        <v>300.80537868378025</v>
      </c>
      <c r="L5" s="19">
        <f t="shared" si="0"/>
        <v>318.11372017324499</v>
      </c>
      <c r="M5" s="19">
        <f t="shared" si="0"/>
        <v>336.41798363201337</v>
      </c>
      <c r="N5" s="19">
        <f t="shared" si="0"/>
        <v>355.77547441019942</v>
      </c>
      <c r="O5" s="19">
        <f t="shared" si="0"/>
        <v>376.24679520776226</v>
      </c>
      <c r="P5" s="19">
        <f t="shared" si="0"/>
        <v>397.89603580401689</v>
      </c>
      <c r="Q5" s="19">
        <f t="shared" si="0"/>
        <v>420.79097370417992</v>
      </c>
      <c r="R5" s="19">
        <f t="shared" si="0"/>
        <v>445.00328633111849</v>
      </c>
      <c r="S5" s="19">
        <f t="shared" si="0"/>
        <v>470.60877542661092</v>
      </c>
      <c r="T5" s="19">
        <f t="shared" si="0"/>
        <v>497.68760436465817</v>
      </c>
      <c r="U5" s="19">
        <f t="shared" si="0"/>
        <v>526.32454911980039</v>
      </c>
      <c r="V5" s="19">
        <f t="shared" si="0"/>
        <v>556.60926367615366</v>
      </c>
      <c r="W5" s="19">
        <f t="shared" si="0"/>
        <v>588.6365607080794</v>
      </c>
    </row>
    <row r="6" spans="1:25">
      <c r="A6" s="52"/>
      <c r="B6" s="17"/>
      <c r="C6" s="17"/>
      <c r="E6" s="17"/>
      <c r="F6" s="17"/>
      <c r="G6" s="17"/>
      <c r="H6" s="17">
        <v>0.05</v>
      </c>
      <c r="I6" s="17"/>
      <c r="J6" s="17"/>
      <c r="K6" s="17"/>
      <c r="L6" s="17"/>
      <c r="M6" s="17"/>
      <c r="N6" s="17"/>
    </row>
    <row r="7" spans="1:25">
      <c r="A7" s="51" t="s">
        <v>46</v>
      </c>
      <c r="B7" s="17"/>
      <c r="C7" s="18"/>
      <c r="E7" s="17"/>
      <c r="F7" s="17"/>
      <c r="G7" s="17"/>
      <c r="H7" s="17"/>
      <c r="I7" s="17"/>
      <c r="J7" s="17"/>
      <c r="K7" s="17"/>
      <c r="L7" s="17"/>
      <c r="M7" s="17"/>
      <c r="N7" s="17"/>
    </row>
    <row r="8" spans="1:25">
      <c r="A8" s="52"/>
      <c r="B8" s="18" t="s">
        <v>47</v>
      </c>
      <c r="C8" s="17" t="s">
        <v>43</v>
      </c>
      <c r="E8" s="21">
        <v>20</v>
      </c>
      <c r="F8" s="21">
        <v>20</v>
      </c>
      <c r="G8" s="21">
        <v>20</v>
      </c>
      <c r="H8" s="21">
        <v>20</v>
      </c>
      <c r="I8" s="21">
        <v>20</v>
      </c>
      <c r="J8" s="21">
        <v>20</v>
      </c>
      <c r="K8" s="21">
        <v>20</v>
      </c>
      <c r="L8" s="21">
        <v>20</v>
      </c>
      <c r="M8" s="21">
        <v>20</v>
      </c>
      <c r="N8" s="21">
        <v>20</v>
      </c>
      <c r="O8" s="21">
        <v>20</v>
      </c>
      <c r="P8" s="21">
        <v>20</v>
      </c>
      <c r="Q8" s="21">
        <v>20</v>
      </c>
      <c r="R8" s="21">
        <v>20</v>
      </c>
      <c r="S8" s="21">
        <v>20</v>
      </c>
      <c r="T8" s="21">
        <v>20</v>
      </c>
      <c r="U8" s="21">
        <v>20</v>
      </c>
      <c r="V8" s="21">
        <v>20</v>
      </c>
      <c r="W8" s="21">
        <v>20</v>
      </c>
    </row>
    <row r="9" spans="1:25">
      <c r="A9" s="52"/>
      <c r="B9" s="18" t="s">
        <v>48</v>
      </c>
      <c r="C9" s="17"/>
      <c r="E9" s="20">
        <f>'Cashflow 350 KTPA'!H20</f>
        <v>941.48710970308241</v>
      </c>
      <c r="F9" s="20">
        <f>'Cashflow 350 KTPA'!I20</f>
        <v>1177.8316927807521</v>
      </c>
      <c r="G9" s="20">
        <f>'Cashflow 350 KTPA'!J20</f>
        <v>1342.3427679217455</v>
      </c>
      <c r="H9" s="20">
        <f>'Cashflow 350 KTPA'!K20</f>
        <v>1417.76793992131</v>
      </c>
      <c r="I9" s="20">
        <f>'Cashflow 350 KTPA'!L20</f>
        <v>1494.9614335173173</v>
      </c>
      <c r="J9" s="20">
        <f>'Cashflow 350 KTPA'!M20</f>
        <v>1577.6415067988112</v>
      </c>
      <c r="K9" s="20">
        <f>'Cashflow 350 KTPA'!N20</f>
        <v>1664.6290009783274</v>
      </c>
      <c r="L9" s="20">
        <f>'Cashflow 350 KTPA'!O20</f>
        <v>1756.925048994093</v>
      </c>
      <c r="M9" s="20">
        <f>'Cashflow 350 KTPA'!P20</f>
        <v>1856.2084819811791</v>
      </c>
      <c r="N9" s="20">
        <f>'Cashflow 350 KTPA'!Q20</f>
        <v>1955.306856789485</v>
      </c>
      <c r="O9" s="20">
        <f>'Cashflow 350 KTPA'!R20</f>
        <v>2060.8206621176746</v>
      </c>
      <c r="P9" s="20">
        <f>'Cashflow 350 KTPA'!S20</f>
        <v>2172.5094691891618</v>
      </c>
      <c r="Q9" s="20">
        <f>'Cashflow 350 KTPA'!T20</f>
        <v>2288.8034042660756</v>
      </c>
      <c r="R9" s="20">
        <f>'Cashflow 350 KTPA'!U20</f>
        <v>2411.0578395593398</v>
      </c>
      <c r="S9" s="20">
        <f>'Cashflow 350 KTPA'!V20</f>
        <v>2539.7289806845893</v>
      </c>
      <c r="T9" s="20">
        <f>'Cashflow 350 KTPA'!W20</f>
        <v>2677.6283161672686</v>
      </c>
      <c r="U9" s="20">
        <f>'Cashflow 350 KTPA'!X20</f>
        <v>2823.6480357860742</v>
      </c>
      <c r="V9" s="20">
        <f>'Cashflow 350 KTPA'!Y20</f>
        <v>2979.0949276054826</v>
      </c>
      <c r="W9" s="20">
        <f>'Cashflow 350 KTPA'!Z20</f>
        <v>3141.0916362819939</v>
      </c>
    </row>
    <row r="10" spans="1:25">
      <c r="A10" s="52"/>
      <c r="B10" s="18" t="s">
        <v>49</v>
      </c>
      <c r="C10" s="17"/>
      <c r="E10" s="19">
        <f>+E9/365*E8</f>
        <v>51.588334778251088</v>
      </c>
      <c r="F10" s="19">
        <f t="shared" ref="F10:W10" si="1">+F9/365*F8</f>
        <v>64.538722892096004</v>
      </c>
      <c r="G10" s="19">
        <f t="shared" si="1"/>
        <v>73.553028379273727</v>
      </c>
      <c r="H10" s="19">
        <f t="shared" si="1"/>
        <v>77.685914516236167</v>
      </c>
      <c r="I10" s="19">
        <f t="shared" si="1"/>
        <v>81.915694987250276</v>
      </c>
      <c r="J10" s="19">
        <f t="shared" si="1"/>
        <v>86.446109961578685</v>
      </c>
      <c r="K10" s="19">
        <f t="shared" si="1"/>
        <v>91.212547998812454</v>
      </c>
      <c r="L10" s="19">
        <f t="shared" si="1"/>
        <v>96.269865698306475</v>
      </c>
      <c r="M10" s="19">
        <f t="shared" si="1"/>
        <v>101.71005380718789</v>
      </c>
      <c r="N10" s="19">
        <f t="shared" si="1"/>
        <v>107.14010174188958</v>
      </c>
      <c r="O10" s="19">
        <f t="shared" si="1"/>
        <v>112.92168011603695</v>
      </c>
      <c r="P10" s="19">
        <f t="shared" si="1"/>
        <v>119.04161475009106</v>
      </c>
      <c r="Q10" s="19">
        <f t="shared" si="1"/>
        <v>125.41388516526442</v>
      </c>
      <c r="R10" s="19">
        <f t="shared" si="1"/>
        <v>132.11275833201861</v>
      </c>
      <c r="S10" s="19">
        <f t="shared" si="1"/>
        <v>139.16323181833366</v>
      </c>
      <c r="T10" s="19">
        <f t="shared" si="1"/>
        <v>146.71935978998732</v>
      </c>
      <c r="U10" s="19">
        <f t="shared" si="1"/>
        <v>154.72044031704516</v>
      </c>
      <c r="V10" s="19">
        <f t="shared" si="1"/>
        <v>163.23807822495795</v>
      </c>
      <c r="W10" s="19">
        <f t="shared" si="1"/>
        <v>172.11461020723254</v>
      </c>
      <c r="X10" s="19"/>
      <c r="Y10" s="19"/>
    </row>
    <row r="11" spans="1:25">
      <c r="A11" s="52"/>
      <c r="B11" s="17"/>
      <c r="C11" s="17"/>
      <c r="E11" s="17"/>
      <c r="F11" s="17"/>
      <c r="G11" s="17"/>
      <c r="H11" s="17"/>
      <c r="I11" s="17"/>
      <c r="J11" s="17"/>
      <c r="K11" s="17"/>
      <c r="L11" s="17"/>
      <c r="M11" s="17"/>
      <c r="N11" s="17"/>
    </row>
    <row r="12" spans="1:25">
      <c r="A12" s="51" t="s">
        <v>50</v>
      </c>
      <c r="B12" s="17"/>
      <c r="C12" s="18"/>
      <c r="E12" s="17"/>
      <c r="F12" s="17"/>
      <c r="G12" s="17"/>
      <c r="H12" s="17"/>
      <c r="I12" s="17"/>
      <c r="J12" s="17"/>
      <c r="K12" s="17"/>
      <c r="L12" s="17"/>
      <c r="M12" s="17"/>
      <c r="N12" s="17"/>
    </row>
    <row r="13" spans="1:25">
      <c r="A13" s="52"/>
      <c r="B13" s="18" t="s">
        <v>51</v>
      </c>
      <c r="C13" s="17" t="s">
        <v>43</v>
      </c>
      <c r="E13" s="21">
        <v>10</v>
      </c>
      <c r="F13" s="21">
        <v>10</v>
      </c>
      <c r="G13" s="21">
        <v>10</v>
      </c>
      <c r="H13" s="21">
        <v>10</v>
      </c>
      <c r="I13" s="21">
        <v>10</v>
      </c>
      <c r="J13" s="21">
        <v>10</v>
      </c>
      <c r="K13" s="21">
        <v>10</v>
      </c>
      <c r="L13" s="21">
        <v>10</v>
      </c>
      <c r="M13" s="21">
        <v>10</v>
      </c>
      <c r="N13" s="21">
        <v>10</v>
      </c>
      <c r="O13" s="21">
        <v>10</v>
      </c>
      <c r="P13" s="21">
        <v>10</v>
      </c>
      <c r="Q13" s="21">
        <v>10</v>
      </c>
      <c r="R13" s="21">
        <v>10</v>
      </c>
      <c r="S13" s="21">
        <v>10</v>
      </c>
      <c r="T13" s="21">
        <v>10</v>
      </c>
      <c r="U13" s="21">
        <v>10</v>
      </c>
      <c r="V13" s="21">
        <v>10</v>
      </c>
      <c r="W13" s="21">
        <v>10</v>
      </c>
    </row>
    <row r="14" spans="1:25">
      <c r="A14" s="52"/>
      <c r="B14" s="18" t="s">
        <v>52</v>
      </c>
      <c r="C14" s="17"/>
      <c r="E14" s="20">
        <f>-E9</f>
        <v>-941.48710970308241</v>
      </c>
      <c r="F14" s="20">
        <f t="shared" ref="F14:W14" si="2">-F9</f>
        <v>-1177.8316927807521</v>
      </c>
      <c r="G14" s="20">
        <f t="shared" si="2"/>
        <v>-1342.3427679217455</v>
      </c>
      <c r="H14" s="20">
        <f t="shared" si="2"/>
        <v>-1417.76793992131</v>
      </c>
      <c r="I14" s="20">
        <f t="shared" si="2"/>
        <v>-1494.9614335173173</v>
      </c>
      <c r="J14" s="20">
        <f t="shared" si="2"/>
        <v>-1577.6415067988112</v>
      </c>
      <c r="K14" s="20">
        <f t="shared" si="2"/>
        <v>-1664.6290009783274</v>
      </c>
      <c r="L14" s="20">
        <f t="shared" si="2"/>
        <v>-1756.925048994093</v>
      </c>
      <c r="M14" s="20">
        <f>-M9</f>
        <v>-1856.2084819811791</v>
      </c>
      <c r="N14" s="20">
        <f t="shared" si="2"/>
        <v>-1955.306856789485</v>
      </c>
      <c r="O14" s="20">
        <f t="shared" si="2"/>
        <v>-2060.8206621176746</v>
      </c>
      <c r="P14" s="20">
        <f t="shared" si="2"/>
        <v>-2172.5094691891618</v>
      </c>
      <c r="Q14" s="20">
        <f t="shared" si="2"/>
        <v>-2288.8034042660756</v>
      </c>
      <c r="R14" s="20">
        <f t="shared" si="2"/>
        <v>-2411.0578395593398</v>
      </c>
      <c r="S14" s="20">
        <f t="shared" si="2"/>
        <v>-2539.7289806845893</v>
      </c>
      <c r="T14" s="20">
        <f t="shared" si="2"/>
        <v>-2677.6283161672686</v>
      </c>
      <c r="U14" s="20">
        <f t="shared" si="2"/>
        <v>-2823.6480357860742</v>
      </c>
      <c r="V14" s="20">
        <f t="shared" si="2"/>
        <v>-2979.0949276054826</v>
      </c>
      <c r="W14" s="20">
        <f t="shared" si="2"/>
        <v>-3141.0916362819939</v>
      </c>
    </row>
    <row r="15" spans="1:25">
      <c r="A15" s="53"/>
      <c r="B15" s="54" t="s">
        <v>52</v>
      </c>
      <c r="C15" s="55"/>
      <c r="D15" s="56"/>
      <c r="E15" s="57">
        <f>+E14/365*E13</f>
        <v>-25.794167389125544</v>
      </c>
      <c r="F15" s="57">
        <f t="shared" ref="F15:W15" si="3">+F14/365*F13</f>
        <v>-32.269361446048002</v>
      </c>
      <c r="G15" s="57">
        <f t="shared" si="3"/>
        <v>-36.776514189636863</v>
      </c>
      <c r="H15" s="57">
        <f t="shared" si="3"/>
        <v>-38.842957258118084</v>
      </c>
      <c r="I15" s="57">
        <f t="shared" si="3"/>
        <v>-40.957847493625138</v>
      </c>
      <c r="J15" s="57">
        <f t="shared" si="3"/>
        <v>-43.223054980789342</v>
      </c>
      <c r="K15" s="57">
        <f t="shared" si="3"/>
        <v>-45.606273999406227</v>
      </c>
      <c r="L15" s="57">
        <f t="shared" si="3"/>
        <v>-48.134932849153238</v>
      </c>
      <c r="M15" s="57">
        <f t="shared" si="3"/>
        <v>-50.855026903593945</v>
      </c>
      <c r="N15" s="57">
        <f t="shared" si="3"/>
        <v>-53.57005087094479</v>
      </c>
      <c r="O15" s="57">
        <f t="shared" si="3"/>
        <v>-56.460840058018476</v>
      </c>
      <c r="P15" s="57">
        <f t="shared" si="3"/>
        <v>-59.520807375045528</v>
      </c>
      <c r="Q15" s="57">
        <f t="shared" si="3"/>
        <v>-62.706942582632209</v>
      </c>
      <c r="R15" s="57">
        <f t="shared" si="3"/>
        <v>-66.056379166009307</v>
      </c>
      <c r="S15" s="57">
        <f t="shared" si="3"/>
        <v>-69.581615909166828</v>
      </c>
      <c r="T15" s="57">
        <f t="shared" si="3"/>
        <v>-73.359679894993661</v>
      </c>
      <c r="U15" s="57">
        <f t="shared" si="3"/>
        <v>-77.36022015852258</v>
      </c>
      <c r="V15" s="57">
        <f t="shared" si="3"/>
        <v>-81.619039112478973</v>
      </c>
      <c r="W15" s="57">
        <f t="shared" si="3"/>
        <v>-86.057305103616272</v>
      </c>
    </row>
  </sheetData>
  <mergeCells count="1">
    <mergeCell ref="A1:D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9C00-9943-4EC0-96DD-8B077E015B6F}">
  <sheetPr codeName="Sheet15"/>
  <dimension ref="A1:I23"/>
  <sheetViews>
    <sheetView showGridLines="0" zoomScale="115" zoomScaleNormal="115" workbookViewId="0">
      <selection activeCell="J25" sqref="J25"/>
    </sheetView>
  </sheetViews>
  <sheetFormatPr defaultRowHeight="11.25"/>
  <cols>
    <col min="1" max="8" width="9.140625" style="290"/>
    <col min="9" max="9" width="23.5703125" style="290" customWidth="1"/>
    <col min="10" max="16384" width="9.140625" style="290"/>
  </cols>
  <sheetData>
    <row r="1" spans="1:9">
      <c r="A1" s="290" t="s">
        <v>220</v>
      </c>
    </row>
    <row r="2" spans="1:9">
      <c r="A2" s="290" t="s">
        <v>373</v>
      </c>
    </row>
    <row r="3" spans="1:9">
      <c r="A3" s="290" t="s">
        <v>122</v>
      </c>
    </row>
    <row r="4" spans="1:9">
      <c r="A4" s="290" t="s">
        <v>444</v>
      </c>
    </row>
    <row r="5" spans="1:9">
      <c r="A5" s="290" t="s">
        <v>123</v>
      </c>
    </row>
    <row r="6" spans="1:9">
      <c r="A6" s="290" t="s">
        <v>124</v>
      </c>
    </row>
    <row r="7" spans="1:9">
      <c r="A7" s="290" t="s">
        <v>125</v>
      </c>
    </row>
    <row r="8" spans="1:9">
      <c r="A8" s="290" t="s">
        <v>583</v>
      </c>
    </row>
    <row r="9" spans="1:9">
      <c r="A9" s="290" t="s">
        <v>126</v>
      </c>
    </row>
    <row r="10" spans="1:9">
      <c r="A10" s="290" t="s">
        <v>127</v>
      </c>
    </row>
    <row r="11" spans="1:9">
      <c r="A11" s="290" t="s">
        <v>128</v>
      </c>
    </row>
    <row r="12" spans="1:9" ht="13.5" customHeight="1">
      <c r="A12" s="1140" t="s">
        <v>372</v>
      </c>
      <c r="B12" s="1140"/>
      <c r="C12" s="1140"/>
      <c r="D12" s="1140"/>
      <c r="E12" s="1140"/>
      <c r="F12" s="1140"/>
      <c r="G12" s="1140"/>
      <c r="H12" s="1140"/>
      <c r="I12" s="1140"/>
    </row>
    <row r="13" spans="1:9">
      <c r="A13" s="290" t="s">
        <v>377</v>
      </c>
    </row>
    <row r="14" spans="1:9" ht="12.75" customHeight="1">
      <c r="A14" s="1140" t="s">
        <v>378</v>
      </c>
      <c r="B14" s="1140"/>
      <c r="C14" s="1140"/>
      <c r="D14" s="1140"/>
      <c r="E14" s="1140"/>
      <c r="F14" s="1140"/>
      <c r="G14" s="1140"/>
      <c r="H14" s="1140"/>
      <c r="I14" s="1140"/>
    </row>
    <row r="15" spans="1:9" ht="12.75" customHeight="1">
      <c r="A15" s="1140" t="s">
        <v>379</v>
      </c>
      <c r="B15" s="1140"/>
      <c r="C15" s="1140"/>
      <c r="D15" s="1140"/>
      <c r="E15" s="1140"/>
      <c r="F15" s="1140"/>
      <c r="G15" s="1140"/>
      <c r="H15" s="1140"/>
      <c r="I15" s="1140"/>
    </row>
    <row r="16" spans="1:9">
      <c r="A16" s="290" t="s">
        <v>380</v>
      </c>
    </row>
    <row r="17" spans="1:1">
      <c r="A17" s="290" t="s">
        <v>381</v>
      </c>
    </row>
    <row r="18" spans="1:1">
      <c r="A18" s="290" t="s">
        <v>382</v>
      </c>
    </row>
    <row r="19" spans="1:1">
      <c r="A19" s="290" t="s">
        <v>383</v>
      </c>
    </row>
    <row r="20" spans="1:1">
      <c r="A20" s="290" t="s">
        <v>374</v>
      </c>
    </row>
    <row r="21" spans="1:1">
      <c r="A21" s="290" t="s">
        <v>375</v>
      </c>
    </row>
    <row r="22" spans="1:1">
      <c r="A22" s="290" t="s">
        <v>376</v>
      </c>
    </row>
    <row r="23" spans="1:1">
      <c r="A23" s="290" t="s">
        <v>414</v>
      </c>
    </row>
  </sheetData>
  <mergeCells count="3">
    <mergeCell ref="A12:I12"/>
    <mergeCell ref="A14:I14"/>
    <mergeCell ref="A15:I15"/>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6D00-A6CA-42B9-AFD7-D90AF7B487E7}">
  <sheetPr codeName="Sheet42"/>
  <dimension ref="A1"/>
  <sheetViews>
    <sheetView showGridLines="0" topLeftCell="A11" workbookViewId="0">
      <selection activeCell="L31" sqref="L31"/>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9</vt:i4>
      </vt:variant>
    </vt:vector>
  </HeadingPairs>
  <TitlesOfParts>
    <vt:vector size="58" baseType="lpstr">
      <vt:lpstr>Cover Page</vt:lpstr>
      <vt:lpstr>Dashboard</vt:lpstr>
      <vt:lpstr>Sheet3</vt:lpstr>
      <vt:lpstr>Background and Option Evaluated</vt:lpstr>
      <vt:lpstr>Scenario</vt:lpstr>
      <vt:lpstr>Price Table</vt:lpstr>
      <vt:lpstr>Feed</vt:lpstr>
      <vt:lpstr>Financial Model (84 Months)</vt:lpstr>
      <vt:lpstr>Cracker Yields</vt:lpstr>
      <vt:lpstr>Financial Model Base Case</vt:lpstr>
      <vt:lpstr>Financial Model Prop. Fur. Add.</vt:lpstr>
      <vt:lpstr>Financial Model Eth. Fur. Add.</vt:lpstr>
      <vt:lpstr>Products Output</vt:lpstr>
      <vt:lpstr>Capex</vt:lpstr>
      <vt:lpstr>Opex PVC</vt:lpstr>
      <vt:lpstr>Sales</vt:lpstr>
      <vt:lpstr>Cashflow 350 KTPA</vt:lpstr>
      <vt:lpstr>Cashflow 500 KTPA</vt:lpstr>
      <vt:lpstr>Cashflow 500KT EDC VCM Cracking</vt:lpstr>
      <vt:lpstr>Cashflow - PVC Phenol Propane</vt:lpstr>
      <vt:lpstr>Cashflow - PVC Phenol Ethane</vt:lpstr>
      <vt:lpstr>Cashflow PhenolOption1-Propane</vt:lpstr>
      <vt:lpstr>Cashflow Phenol Option 1-Ethane</vt:lpstr>
      <vt:lpstr>Opex Phenol</vt:lpstr>
      <vt:lpstr>Net Change in Margin</vt:lpstr>
      <vt:lpstr>Salaries &amp; Wages Calculations</vt:lpstr>
      <vt:lpstr>Profitability</vt:lpstr>
      <vt:lpstr>Sensitivity-Profitability</vt:lpstr>
      <vt:lpstr>Annual COP</vt:lpstr>
      <vt:lpstr> Break EvenPoint</vt:lpstr>
      <vt:lpstr>BEP Sensitivity-350 KTPA</vt:lpstr>
      <vt:lpstr>BEP Sensitivity-500 KTPA</vt:lpstr>
      <vt:lpstr> Profitabilty_PVC Phenol (2 (3)</vt:lpstr>
      <vt:lpstr> Profitabilty_PVC Phenol (3)</vt:lpstr>
      <vt:lpstr> Profitabilty_PVC Phenol</vt:lpstr>
      <vt:lpstr>Sensitivity_PVC Phenol</vt:lpstr>
      <vt:lpstr>Cashflow Current</vt:lpstr>
      <vt:lpstr>Profitability - Current</vt:lpstr>
      <vt:lpstr>Sensitivity-Profit Current Case</vt:lpstr>
      <vt:lpstr>Sensitivity Current Case</vt:lpstr>
      <vt:lpstr> Profitabilty_PVC Phenol 1</vt:lpstr>
      <vt:lpstr>DSCR-350 KTPA</vt:lpstr>
      <vt:lpstr>DSCR-PVC+Phenol</vt:lpstr>
      <vt:lpstr> Means of Fin</vt:lpstr>
      <vt:lpstr>Interest Calculation</vt:lpstr>
      <vt:lpstr>Requirement</vt:lpstr>
      <vt:lpstr>Working Sheet</vt:lpstr>
      <vt:lpstr>Basis</vt:lpstr>
      <vt:lpstr>Sheet1</vt:lpstr>
      <vt:lpstr>' Break EvenPoint'!Print_Area</vt:lpstr>
      <vt:lpstr>'BEP Sensitivity-350 KTPA'!Print_Area</vt:lpstr>
      <vt:lpstr>'BEP Sensitivity-500 KTPA'!Print_Area</vt:lpstr>
      <vt:lpstr>'DSCR-350 KTPA'!Print_Area</vt:lpstr>
      <vt:lpstr>'Interest Calculation'!Print_Area</vt:lpstr>
      <vt:lpstr>Profitability!Print_Area</vt:lpstr>
      <vt:lpstr>'Profitability - Current'!Print_Area</vt:lpstr>
      <vt:lpstr>'Sensitivity Current Case'!Print_Area</vt:lpstr>
      <vt:lpstr>Scenario45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cp:lastPrinted>2022-08-03T12:38:29Z</cp:lastPrinted>
  <dcterms:created xsi:type="dcterms:W3CDTF">2021-10-29T09:15:20Z</dcterms:created>
  <dcterms:modified xsi:type="dcterms:W3CDTF">2023-05-26T06:55:26Z</dcterms:modified>
</cp:coreProperties>
</file>